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9735" tabRatio="887" activeTab="0"/>
  </bookViews>
  <sheets>
    <sheet name="Aktualizacja_X kwiecień 2019" sheetId="1" r:id="rId1"/>
  </sheets>
  <definedNames/>
  <calcPr fullCalcOnLoad="1"/>
</workbook>
</file>

<file path=xl/sharedStrings.xml><?xml version="1.0" encoding="utf-8"?>
<sst xmlns="http://schemas.openxmlformats.org/spreadsheetml/2006/main" count="252" uniqueCount="105">
  <si>
    <t>Zał. 3. Indykatywny plan finansowy POIR (wydatki kwalifikowalne w EUR)</t>
  </si>
  <si>
    <t>Tabela finansowa PO IR</t>
  </si>
  <si>
    <t>Priorytet inwestycyjny</t>
  </si>
  <si>
    <t>Kategoria regionu (*)</t>
  </si>
  <si>
    <t>Wsparcie UE</t>
  </si>
  <si>
    <t>Wkład krajowy</t>
  </si>
  <si>
    <t>Krajowe środki publiczne</t>
  </si>
  <si>
    <t>Krajowe środki prywatne</t>
  </si>
  <si>
    <t>Finansowanie ogółem</t>
  </si>
  <si>
    <t>Szacowany
poziom 
cross-financingu (%)</t>
  </si>
  <si>
    <t>Główna alokacja (**)</t>
  </si>
  <si>
    <t>Rezerwa wykonania</t>
  </si>
  <si>
    <t>Udział rezerwy wykonania w stos. Do całkowitej kwoty wsparcia UE</t>
  </si>
  <si>
    <t>Wkład EBI</t>
  </si>
  <si>
    <t>ogółem</t>
  </si>
  <si>
    <t>FS</t>
  </si>
  <si>
    <t>EFRR</t>
  </si>
  <si>
    <t>EFS</t>
  </si>
  <si>
    <t>budżet
państwa</t>
  </si>
  <si>
    <t>budżet samorządu 
wojewódzkiego</t>
  </si>
  <si>
    <t>budżety 
pozostałych jst</t>
  </si>
  <si>
    <t>inne</t>
  </si>
  <si>
    <t>Wsparcie
UE</t>
  </si>
  <si>
    <t>Wsparcie 
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</si>
  <si>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</si>
  <si>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</si>
  <si>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</si>
  <si>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</si>
  <si>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</si>
  <si>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</si>
  <si>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</si>
  <si>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</si>
  <si>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</si>
  <si>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</si>
  <si>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</si>
  <si>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</si>
  <si>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</si>
  <si>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</si>
  <si>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</si>
  <si>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</si>
  <si>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</si>
  <si>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=b+c+d</t>
  </si>
  <si>
    <t>=f+k</t>
  </si>
  <si>
    <t>=g+h+i+j</t>
  </si>
  <si>
    <t>=a+e</t>
  </si>
  <si>
    <t>=a-o</t>
  </si>
  <si>
    <t>=o/a*100</t>
  </si>
  <si>
    <t>oś priorytetowa nr 1.</t>
  </si>
  <si>
    <t>1b</t>
  </si>
  <si>
    <t>słabiej rozwinięte</t>
  </si>
  <si>
    <t>lepiej rozwinięte</t>
  </si>
  <si>
    <t>działanie nr 1.1.</t>
  </si>
  <si>
    <t>poddziałanie nr 1.1.1</t>
  </si>
  <si>
    <t>poddziałanie nr 1.1.2</t>
  </si>
  <si>
    <t>działanie nr 1.2.</t>
  </si>
  <si>
    <t>działanie nr 1.3.</t>
  </si>
  <si>
    <t>poddziałanie 1.3.1-alfa</t>
  </si>
  <si>
    <t>poddziałanie 1.3.1</t>
  </si>
  <si>
    <t>poddziałanie 1.3.2-vc</t>
  </si>
  <si>
    <t>poddziałanie 1.3.2</t>
  </si>
  <si>
    <t>oś priorytetowa nr 2</t>
  </si>
  <si>
    <t>działanie 2.1</t>
  </si>
  <si>
    <r>
      <t>działanie 2.2</t>
    </r>
    <r>
      <rPr>
        <i/>
        <sz val="9"/>
        <rFont val="Arial"/>
        <family val="2"/>
      </rPr>
      <t>Komponent I</t>
    </r>
  </si>
  <si>
    <r>
      <t>działanie 2.2</t>
    </r>
    <r>
      <rPr>
        <i/>
        <sz val="9"/>
        <rFont val="Arial"/>
        <family val="2"/>
      </rPr>
      <t>Komponent II</t>
    </r>
  </si>
  <si>
    <t>działanie 2.3</t>
  </si>
  <si>
    <r>
      <t>poddziałanie 2.3.1</t>
    </r>
  </si>
  <si>
    <r>
      <t>poddziałanie 2.3.2</t>
    </r>
  </si>
  <si>
    <t>poddziałanie 2.3.3</t>
  </si>
  <si>
    <t>poddziałanie 2.3.4</t>
  </si>
  <si>
    <t>poddziałanie 2.3.5</t>
  </si>
  <si>
    <t>działanie 2.4</t>
  </si>
  <si>
    <t>poddziałanie 2.4.1</t>
  </si>
  <si>
    <t>poddziałanie 2.4.2</t>
  </si>
  <si>
    <t>oś priorytetowa nr 3</t>
  </si>
  <si>
    <t>3a</t>
  </si>
  <si>
    <t>3c</t>
  </si>
  <si>
    <t>działanie 3.1</t>
  </si>
  <si>
    <t>poddziałanie 3.1.1</t>
  </si>
  <si>
    <t>poddziałanie 3.1.2</t>
  </si>
  <si>
    <t>poddziałanie 3.1.3</t>
  </si>
  <si>
    <t>poddziałanie 3.1.4</t>
  </si>
  <si>
    <t>poddziałanie 3.1.5</t>
  </si>
  <si>
    <t>działanie 3.2</t>
  </si>
  <si>
    <t>poddziałanie 3.2.1</t>
  </si>
  <si>
    <t>poddziałanie 3.2.2</t>
  </si>
  <si>
    <t>poddziałanie 3.2.3</t>
  </si>
  <si>
    <t>działanie 3.3</t>
  </si>
  <si>
    <t>poddziałanie 3.3.1</t>
  </si>
  <si>
    <t>poddziałanie 3.3.2</t>
  </si>
  <si>
    <t>poddziałanie 3.3.3</t>
  </si>
  <si>
    <t>oś priorytetowa nr 4.</t>
  </si>
  <si>
    <t>1a</t>
  </si>
  <si>
    <t>działanie 4.1</t>
  </si>
  <si>
    <t>działanie 4.2</t>
  </si>
  <si>
    <t>działanie 4.3</t>
  </si>
  <si>
    <t>działanie 4.4</t>
  </si>
  <si>
    <t>oś priorytetowa nr 5.</t>
  </si>
  <si>
    <t>ND</t>
  </si>
  <si>
    <t>działanie nr 5.1</t>
  </si>
  <si>
    <t>RAZEM</t>
  </si>
  <si>
    <t>poddziałanie 4.1.1</t>
  </si>
  <si>
    <t>poddziałanie 4.1.2</t>
  </si>
  <si>
    <t>poddziałanie 4.1.3</t>
  </si>
  <si>
    <t>poddziałanie 4.1.4</t>
  </si>
  <si>
    <t>działanie 2.5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</si>
</sst>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0%"/>
    <numFmt numFmtId="169" formatCode="0.0000000000"/>
    <numFmt numFmtId="170" formatCode="0.00000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dotted"/>
      <right style="hair"/>
      <top style="hair"/>
      <bottom/>
    </border>
    <border>
      <left style="hair"/>
      <right/>
      <top style="hair"/>
      <bottom/>
    </border>
    <border>
      <left style="hair"/>
      <right style="dotted"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dotted"/>
      <top style="thin"/>
      <bottom style="hair"/>
    </border>
    <border>
      <left style="thin"/>
      <right style="hair"/>
      <top/>
      <bottom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10" xfId="57" applyFont="1" applyBorder="1" applyAlignment="1">
      <alignment vertical="center" wrapText="1"/>
    </xf>
    <xf numFmtId="0" fontId="2" fillId="33" borderId="11" xfId="57" applyFont="1" applyFill="1" applyBorder="1" applyAlignment="1">
      <alignment vertical="center" wrapText="1"/>
    </xf>
    <xf numFmtId="0" fontId="2" fillId="0" borderId="11" xfId="57" applyFont="1" applyBorder="1" applyAlignment="1">
      <alignment vertical="center" wrapText="1"/>
    </xf>
    <xf numFmtId="0" fontId="46" fillId="0" borderId="0" xfId="57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2" xfId="57" applyFont="1" applyBorder="1" applyAlignment="1">
      <alignment vertical="center" wrapText="1"/>
    </xf>
    <xf numFmtId="0" fontId="2" fillId="34" borderId="13" xfId="57" applyFont="1" applyFill="1" applyBorder="1" applyAlignment="1">
      <alignment vertical="center" wrapText="1"/>
    </xf>
    <xf numFmtId="0" fontId="2" fillId="0" borderId="13" xfId="57" applyFont="1" applyBorder="1" applyAlignment="1">
      <alignment vertical="center" wrapText="1"/>
    </xf>
    <xf numFmtId="0" fontId="2" fillId="0" borderId="14" xfId="57" applyFont="1" applyBorder="1" applyAlignment="1">
      <alignment vertical="center" textRotation="90" wrapText="1"/>
    </xf>
    <xf numFmtId="0" fontId="2" fillId="0" borderId="15" xfId="57" applyFont="1" applyBorder="1" applyAlignment="1">
      <alignment vertical="center" textRotation="90" wrapText="1"/>
    </xf>
    <xf numFmtId="0" fontId="2" fillId="0" borderId="16" xfId="57" applyFont="1" applyBorder="1" applyAlignment="1">
      <alignment vertical="center" textRotation="90" wrapText="1"/>
    </xf>
    <xf numFmtId="0" fontId="2" fillId="0" borderId="17" xfId="57" applyFont="1" applyBorder="1" applyAlignment="1">
      <alignment vertical="center" textRotation="90" wrapText="1"/>
    </xf>
    <xf numFmtId="0" fontId="2" fillId="0" borderId="18" xfId="57" applyFont="1" applyBorder="1" applyAlignment="1">
      <alignment vertical="center" textRotation="90" wrapText="1"/>
    </xf>
    <xf numFmtId="0" fontId="2" fillId="0" borderId="19" xfId="57" applyFont="1" applyBorder="1" applyAlignment="1">
      <alignment vertical="center" textRotation="90" wrapText="1"/>
    </xf>
    <xf numFmtId="0" fontId="2" fillId="0" borderId="20" xfId="57" applyFont="1" applyBorder="1" applyAlignment="1">
      <alignment vertical="center" textRotation="90" wrapText="1"/>
    </xf>
    <xf numFmtId="0" fontId="2" fillId="34" borderId="14" xfId="57" applyFont="1" applyFill="1" applyBorder="1" applyAlignment="1">
      <alignment vertical="center" textRotation="90" wrapText="1"/>
    </xf>
    <xf numFmtId="3" fontId="2" fillId="34" borderId="21" xfId="57" applyNumberFormat="1" applyFont="1" applyFill="1" applyBorder="1" applyAlignment="1">
      <alignment horizontal="right" vertical="center" wrapText="1"/>
    </xf>
    <xf numFmtId="0" fontId="2" fillId="0" borderId="22" xfId="57" applyFont="1" applyBorder="1" applyAlignment="1">
      <alignment vertical="center" wrapText="1"/>
    </xf>
    <xf numFmtId="0" fontId="2" fillId="0" borderId="23" xfId="57" applyFont="1" applyBorder="1" applyAlignment="1">
      <alignment vertical="center" wrapText="1"/>
    </xf>
    <xf numFmtId="3" fontId="2" fillId="35" borderId="11" xfId="57" applyNumberFormat="1" applyFont="1" applyFill="1" applyBorder="1" applyAlignment="1">
      <alignment horizontal="right" vertical="center" wrapText="1"/>
    </xf>
    <xf numFmtId="3" fontId="2" fillId="34" borderId="11" xfId="57" applyNumberFormat="1" applyFont="1" applyFill="1" applyBorder="1" applyAlignment="1">
      <alignment horizontal="right" vertical="center" wrapText="1"/>
    </xf>
    <xf numFmtId="0" fontId="2" fillId="34" borderId="11" xfId="57" applyFont="1" applyFill="1" applyBorder="1" applyAlignment="1">
      <alignment horizontal="right" vertical="center" wrapText="1"/>
    </xf>
    <xf numFmtId="0" fontId="47" fillId="34" borderId="0" xfId="0" applyFont="1" applyFill="1" applyAlignment="1">
      <alignment/>
    </xf>
    <xf numFmtId="0" fontId="2" fillId="0" borderId="14" xfId="57" applyFont="1" applyBorder="1" applyAlignment="1">
      <alignment vertical="center" wrapText="1"/>
    </xf>
    <xf numFmtId="0" fontId="2" fillId="0" borderId="15" xfId="57" applyFont="1" applyBorder="1" applyAlignment="1">
      <alignment vertical="center" wrapText="1"/>
    </xf>
    <xf numFmtId="0" fontId="2" fillId="0" borderId="16" xfId="57" applyFont="1" applyBorder="1" applyAlignment="1">
      <alignment vertical="center" wrapText="1"/>
    </xf>
    <xf numFmtId="0" fontId="2" fillId="0" borderId="17" xfId="57" applyFont="1" applyBorder="1" applyAlignment="1">
      <alignment vertical="center" wrapText="1"/>
    </xf>
    <xf numFmtId="0" fontId="2" fillId="0" borderId="18" xfId="57" applyFont="1" applyBorder="1" applyAlignment="1">
      <alignment vertical="center" wrapText="1"/>
    </xf>
    <xf numFmtId="0" fontId="2" fillId="0" borderId="19" xfId="57" applyFont="1" applyBorder="1" applyAlignment="1">
      <alignment vertical="center" wrapText="1"/>
    </xf>
    <xf numFmtId="0" fontId="2" fillId="0" borderId="20" xfId="57" applyFont="1" applyBorder="1" applyAlignment="1">
      <alignment vertical="center" wrapText="1"/>
    </xf>
    <xf numFmtId="0" fontId="2" fillId="0" borderId="24" xfId="57" applyFont="1" applyBorder="1" applyAlignment="1">
      <alignment vertical="center" wrapText="1"/>
    </xf>
    <xf numFmtId="0" fontId="2" fillId="34" borderId="14" xfId="57" applyFont="1" applyFill="1" applyBorder="1" applyAlignment="1">
      <alignment vertical="center" wrapText="1"/>
    </xf>
    <xf numFmtId="0" fontId="2" fillId="0" borderId="25" xfId="57" applyFont="1" applyBorder="1" applyAlignment="1">
      <alignment vertical="center" wrapText="1"/>
    </xf>
    <xf numFmtId="0" fontId="2" fillId="0" borderId="26" xfId="57" applyFont="1" applyBorder="1" applyAlignment="1">
      <alignment vertical="center" wrapText="1"/>
    </xf>
    <xf numFmtId="0" fontId="2" fillId="0" borderId="27" xfId="57" applyFont="1" applyBorder="1" applyAlignment="1">
      <alignment vertical="center" wrapText="1"/>
    </xf>
    <xf numFmtId="0" fontId="2" fillId="0" borderId="28" xfId="57" applyFont="1" applyBorder="1" applyAlignment="1">
      <alignment vertical="center" wrapText="1"/>
    </xf>
    <xf numFmtId="0" fontId="2" fillId="0" borderId="29" xfId="57" applyFont="1" applyBorder="1" applyAlignment="1">
      <alignment vertical="center" wrapText="1"/>
    </xf>
    <xf numFmtId="0" fontId="2" fillId="0" borderId="30" xfId="57" applyFont="1" applyBorder="1" applyAlignment="1">
      <alignment vertical="center" wrapText="1"/>
    </xf>
    <xf numFmtId="0" fontId="2" fillId="0" borderId="31" xfId="57" applyFont="1" applyBorder="1" applyAlignment="1">
      <alignment vertical="center" wrapText="1"/>
    </xf>
    <xf numFmtId="0" fontId="2" fillId="0" borderId="32" xfId="57" applyFont="1" applyBorder="1" applyAlignment="1">
      <alignment vertical="center" wrapText="1"/>
    </xf>
    <xf numFmtId="0" fontId="2" fillId="34" borderId="25" xfId="57" applyFont="1" applyFill="1" applyBorder="1" applyAlignment="1">
      <alignment vertical="center" wrapText="1"/>
    </xf>
    <xf numFmtId="3" fontId="2" fillId="34" borderId="33" xfId="57" applyNumberFormat="1" applyFont="1" applyFill="1" applyBorder="1" applyAlignment="1">
      <alignment horizontal="right" vertical="center" wrapText="1"/>
    </xf>
    <xf numFmtId="3" fontId="2" fillId="34" borderId="34" xfId="57" applyNumberFormat="1" applyFont="1" applyFill="1" applyBorder="1" applyAlignment="1">
      <alignment horizontal="right" vertical="center" wrapText="1"/>
    </xf>
    <xf numFmtId="3" fontId="2" fillId="34" borderId="35" xfId="57" applyNumberFormat="1" applyFont="1" applyFill="1" applyBorder="1" applyAlignment="1">
      <alignment horizontal="right" vertical="center" wrapText="1"/>
    </xf>
    <xf numFmtId="3" fontId="2" fillId="34" borderId="36" xfId="57" applyNumberFormat="1" applyFont="1" applyFill="1" applyBorder="1" applyAlignment="1">
      <alignment horizontal="right" vertical="center" wrapText="1"/>
    </xf>
    <xf numFmtId="0" fontId="2" fillId="34" borderId="11" xfId="57" applyFont="1" applyFill="1" applyBorder="1" applyAlignment="1">
      <alignment horizontal="justify" vertical="center" wrapText="1"/>
    </xf>
    <xf numFmtId="3" fontId="2" fillId="35" borderId="11" xfId="57" applyNumberFormat="1" applyFont="1" applyFill="1" applyBorder="1" applyAlignment="1">
      <alignment vertical="center" wrapText="1"/>
    </xf>
    <xf numFmtId="9" fontId="2" fillId="34" borderId="11" xfId="57" applyNumberFormat="1" applyFont="1" applyFill="1" applyBorder="1" applyAlignment="1">
      <alignment horizontal="right" vertical="center" wrapText="1"/>
    </xf>
    <xf numFmtId="0" fontId="2" fillId="34" borderId="37" xfId="57" applyFont="1" applyFill="1" applyBorder="1" applyAlignment="1">
      <alignment vertical="center" wrapText="1"/>
    </xf>
    <xf numFmtId="3" fontId="2" fillId="34" borderId="38" xfId="57" applyNumberFormat="1" applyFont="1" applyFill="1" applyBorder="1" applyAlignment="1">
      <alignment horizontal="right" vertical="center" wrapText="1"/>
    </xf>
    <xf numFmtId="0" fontId="2" fillId="34" borderId="39" xfId="57" applyFont="1" applyFill="1" applyBorder="1" applyAlignment="1">
      <alignment horizontal="right" vertical="center" wrapText="1"/>
    </xf>
    <xf numFmtId="0" fontId="2" fillId="35" borderId="11" xfId="57" applyFont="1" applyFill="1" applyBorder="1" applyAlignment="1">
      <alignment horizontal="right" vertical="center" wrapText="1"/>
    </xf>
    <xf numFmtId="3" fontId="2" fillId="34" borderId="37" xfId="57" applyNumberFormat="1" applyFont="1" applyFill="1" applyBorder="1" applyAlignment="1">
      <alignment horizontal="right" vertical="center" wrapText="1"/>
    </xf>
    <xf numFmtId="0" fontId="2" fillId="34" borderId="40" xfId="57" applyFont="1" applyFill="1" applyBorder="1" applyAlignment="1">
      <alignment vertical="center" wrapText="1"/>
    </xf>
    <xf numFmtId="0" fontId="2" fillId="34" borderId="40" xfId="57" applyFont="1" applyFill="1" applyBorder="1" applyAlignment="1">
      <alignment horizontal="right" vertical="center" wrapText="1"/>
    </xf>
    <xf numFmtId="0" fontId="2" fillId="34" borderId="22" xfId="57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right" vertical="center"/>
    </xf>
    <xf numFmtId="0" fontId="2" fillId="36" borderId="21" xfId="57" applyFont="1" applyFill="1" applyBorder="1" applyAlignment="1">
      <alignment horizontal="right" vertical="center" wrapText="1"/>
    </xf>
    <xf numFmtId="0" fontId="2" fillId="34" borderId="41" xfId="57" applyFont="1" applyFill="1" applyBorder="1" applyAlignment="1">
      <alignment vertical="center" wrapText="1"/>
    </xf>
    <xf numFmtId="0" fontId="2" fillId="34" borderId="23" xfId="57" applyFont="1" applyFill="1" applyBorder="1" applyAlignment="1">
      <alignment horizontal="right" vertical="center" wrapText="1"/>
    </xf>
    <xf numFmtId="0" fontId="2" fillId="36" borderId="14" xfId="57" applyFont="1" applyFill="1" applyBorder="1" applyAlignment="1">
      <alignment horizontal="right" vertical="center" wrapText="1"/>
    </xf>
    <xf numFmtId="0" fontId="2" fillId="36" borderId="23" xfId="57" applyFont="1" applyFill="1" applyBorder="1" applyAlignment="1">
      <alignment horizontal="right" vertical="center" wrapText="1"/>
    </xf>
    <xf numFmtId="0" fontId="2" fillId="34" borderId="22" xfId="57" applyFont="1" applyFill="1" applyBorder="1" applyAlignment="1">
      <alignment horizontal="right" vertical="center" wrapText="1"/>
    </xf>
    <xf numFmtId="0" fontId="2" fillId="36" borderId="25" xfId="57" applyFont="1" applyFill="1" applyBorder="1" applyAlignment="1">
      <alignment horizontal="right" vertical="center" wrapText="1"/>
    </xf>
    <xf numFmtId="0" fontId="2" fillId="36" borderId="22" xfId="57" applyFont="1" applyFill="1" applyBorder="1" applyAlignment="1">
      <alignment horizontal="right" vertical="center" wrapText="1"/>
    </xf>
    <xf numFmtId="0" fontId="2" fillId="34" borderId="41" xfId="57" applyFont="1" applyFill="1" applyBorder="1" applyAlignment="1">
      <alignment horizontal="right" vertical="center" wrapText="1"/>
    </xf>
    <xf numFmtId="0" fontId="2" fillId="36" borderId="42" xfId="57" applyFont="1" applyFill="1" applyBorder="1" applyAlignment="1">
      <alignment horizontal="right" vertical="center" wrapText="1"/>
    </xf>
    <xf numFmtId="0" fontId="2" fillId="36" borderId="41" xfId="57" applyFont="1" applyFill="1" applyBorder="1" applyAlignment="1">
      <alignment horizontal="right" vertical="center" wrapText="1"/>
    </xf>
    <xf numFmtId="0" fontId="2" fillId="34" borderId="23" xfId="57" applyFont="1" applyFill="1" applyBorder="1" applyAlignment="1">
      <alignment vertical="center" wrapText="1"/>
    </xf>
    <xf numFmtId="0" fontId="2" fillId="34" borderId="11" xfId="57" applyFont="1" applyFill="1" applyBorder="1" applyAlignment="1">
      <alignment vertical="center" wrapText="1"/>
    </xf>
    <xf numFmtId="0" fontId="2" fillId="36" borderId="11" xfId="57" applyFont="1" applyFill="1" applyBorder="1" applyAlignment="1">
      <alignment horizontal="right" vertical="center" wrapText="1"/>
    </xf>
    <xf numFmtId="0" fontId="2" fillId="35" borderId="11" xfId="57" applyFont="1" applyFill="1" applyBorder="1" applyAlignment="1">
      <alignment vertical="center" wrapText="1"/>
    </xf>
    <xf numFmtId="0" fontId="2" fillId="34" borderId="43" xfId="57" applyFont="1" applyFill="1" applyBorder="1" applyAlignment="1">
      <alignment vertical="center" wrapText="1"/>
    </xf>
    <xf numFmtId="0" fontId="2" fillId="34" borderId="34" xfId="57" applyFont="1" applyFill="1" applyBorder="1" applyAlignment="1">
      <alignment horizontal="right" vertical="center" wrapText="1"/>
    </xf>
    <xf numFmtId="0" fontId="3" fillId="34" borderId="11" xfId="57" applyFont="1" applyFill="1" applyBorder="1" applyAlignment="1">
      <alignment horizontal="right" vertical="center" wrapText="1"/>
    </xf>
    <xf numFmtId="0" fontId="2" fillId="34" borderId="34" xfId="57" applyFont="1" applyFill="1" applyBorder="1" applyAlignment="1">
      <alignment vertical="center" wrapText="1"/>
    </xf>
    <xf numFmtId="3" fontId="2" fillId="36" borderId="11" xfId="57" applyNumberFormat="1" applyFont="1" applyFill="1" applyBorder="1" applyAlignment="1">
      <alignment horizontal="right" vertical="center" wrapText="1"/>
    </xf>
    <xf numFmtId="4" fontId="2" fillId="36" borderId="11" xfId="57" applyNumberFormat="1" applyFont="1" applyFill="1" applyBorder="1" applyAlignment="1">
      <alignment horizontal="right" vertical="center" wrapText="1"/>
    </xf>
    <xf numFmtId="3" fontId="3" fillId="36" borderId="11" xfId="57" applyNumberFormat="1" applyFont="1" applyFill="1" applyBorder="1" applyAlignment="1">
      <alignment horizontal="right" vertical="center" wrapText="1"/>
    </xf>
    <xf numFmtId="3" fontId="2" fillId="35" borderId="34" xfId="57" applyNumberFormat="1" applyFont="1" applyFill="1" applyBorder="1" applyAlignment="1">
      <alignment horizontal="right" vertical="center" wrapText="1"/>
    </xf>
    <xf numFmtId="0" fontId="2" fillId="34" borderId="34" xfId="0" applyFont="1" applyFill="1" applyBorder="1" applyAlignment="1">
      <alignment horizontal="right" vertical="center"/>
    </xf>
    <xf numFmtId="9" fontId="2" fillId="34" borderId="34" xfId="57" applyNumberFormat="1" applyFont="1" applyFill="1" applyBorder="1" applyAlignment="1">
      <alignment horizontal="right" vertical="center" wrapText="1"/>
    </xf>
    <xf numFmtId="3" fontId="2" fillId="36" borderId="34" xfId="57" applyNumberFormat="1" applyFont="1" applyFill="1" applyBorder="1" applyAlignment="1">
      <alignment horizontal="right" vertical="center" wrapText="1"/>
    </xf>
    <xf numFmtId="0" fontId="2" fillId="34" borderId="43" xfId="57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4" borderId="0" xfId="57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2" fillId="34" borderId="11" xfId="57" applyFont="1" applyFill="1" applyBorder="1" applyAlignment="1">
      <alignment vertical="center" wrapText="1"/>
    </xf>
    <xf numFmtId="3" fontId="43" fillId="0" borderId="0" xfId="0" applyNumberFormat="1" applyFont="1" applyAlignment="1">
      <alignment/>
    </xf>
    <xf numFmtId="0" fontId="2" fillId="0" borderId="0" xfId="57" applyFont="1" applyBorder="1" applyAlignment="1">
      <alignment vertical="center" wrapText="1"/>
    </xf>
    <xf numFmtId="0" fontId="2" fillId="34" borderId="0" xfId="57" applyFont="1" applyFill="1" applyBorder="1" applyAlignment="1">
      <alignment vertical="center" wrapText="1"/>
    </xf>
    <xf numFmtId="0" fontId="2" fillId="34" borderId="0" xfId="57" applyFont="1" applyFill="1" applyBorder="1" applyAlignment="1">
      <alignment horizontal="right" vertical="center" wrapText="1"/>
    </xf>
    <xf numFmtId="3" fontId="2" fillId="35" borderId="0" xfId="57" applyNumberFormat="1" applyFont="1" applyFill="1" applyBorder="1" applyAlignment="1">
      <alignment horizontal="right" vertical="center" wrapText="1"/>
    </xf>
    <xf numFmtId="2" fontId="2" fillId="35" borderId="0" xfId="57" applyNumberFormat="1" applyFont="1" applyFill="1" applyBorder="1" applyAlignment="1">
      <alignment horizontal="right" vertical="center" wrapText="1"/>
    </xf>
    <xf numFmtId="3" fontId="43" fillId="34" borderId="0" xfId="0" applyNumberFormat="1" applyFont="1" applyFill="1" applyBorder="1" applyAlignment="1">
      <alignment/>
    </xf>
    <xf numFmtId="0" fontId="2" fillId="34" borderId="11" xfId="57" applyFont="1" applyFill="1" applyBorder="1" applyAlignment="1">
      <alignment vertical="center" wrapText="1"/>
    </xf>
    <xf numFmtId="3" fontId="2" fillId="34" borderId="44" xfId="57" applyNumberFormat="1" applyFont="1" applyFill="1" applyBorder="1" applyAlignment="1">
      <alignment horizontal="right" vertical="center" wrapText="1"/>
    </xf>
    <xf numFmtId="3" fontId="2" fillId="36" borderId="40" xfId="57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43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2" fillId="34" borderId="11" xfId="57" applyFont="1" applyFill="1" applyBorder="1" applyAlignment="1">
      <alignment vertical="center" wrapText="1"/>
    </xf>
    <xf numFmtId="3" fontId="3" fillId="34" borderId="11" xfId="57" applyNumberFormat="1" applyFont="1" applyFill="1" applyBorder="1" applyAlignment="1">
      <alignment horizontal="right" vertical="center" wrapText="1"/>
    </xf>
    <xf numFmtId="3" fontId="2" fillId="34" borderId="11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3" fillId="34" borderId="0" xfId="0" applyNumberFormat="1" applyFont="1" applyFill="1" applyBorder="1" applyAlignment="1">
      <alignment/>
    </xf>
    <xf numFmtId="4" fontId="49" fillId="35" borderId="11" xfId="57" applyNumberFormat="1" applyFont="1" applyFill="1" applyBorder="1" applyAlignment="1">
      <alignment horizontal="right" vertical="center" wrapText="1"/>
    </xf>
    <xf numFmtId="2" fontId="49" fillId="36" borderId="11" xfId="57" applyNumberFormat="1" applyFont="1" applyFill="1" applyBorder="1" applyAlignment="1">
      <alignment horizontal="right" vertical="center" wrapText="1"/>
    </xf>
    <xf numFmtId="2" fontId="49" fillId="34" borderId="11" xfId="57" applyNumberFormat="1" applyFont="1" applyFill="1" applyBorder="1" applyAlignment="1">
      <alignment horizontal="right" vertical="center" wrapText="1"/>
    </xf>
    <xf numFmtId="2" fontId="49" fillId="36" borderId="34" xfId="57" applyNumberFormat="1" applyFont="1" applyFill="1" applyBorder="1" applyAlignment="1">
      <alignment horizontal="right" vertical="center" wrapText="1"/>
    </xf>
    <xf numFmtId="3" fontId="49" fillId="36" borderId="11" xfId="57" applyNumberFormat="1" applyFont="1" applyFill="1" applyBorder="1" applyAlignment="1">
      <alignment horizontal="right" vertical="center" wrapText="1"/>
    </xf>
    <xf numFmtId="3" fontId="2" fillId="37" borderId="11" xfId="57" applyNumberFormat="1" applyFont="1" applyFill="1" applyBorder="1" applyAlignment="1">
      <alignment horizontal="right" vertical="center" wrapText="1"/>
    </xf>
    <xf numFmtId="0" fontId="2" fillId="37" borderId="11" xfId="57" applyFont="1" applyFill="1" applyBorder="1" applyAlignment="1">
      <alignment horizontal="right" vertical="center" wrapText="1"/>
    </xf>
    <xf numFmtId="0" fontId="2" fillId="38" borderId="37" xfId="57" applyFont="1" applyFill="1" applyBorder="1" applyAlignment="1">
      <alignment vertical="center" wrapText="1"/>
    </xf>
    <xf numFmtId="3" fontId="2" fillId="38" borderId="13" xfId="57" applyNumberFormat="1" applyFont="1" applyFill="1" applyBorder="1" applyAlignment="1">
      <alignment horizontal="right" vertical="center" wrapText="1"/>
    </xf>
    <xf numFmtId="3" fontId="2" fillId="38" borderId="38" xfId="57" applyNumberFormat="1" applyFont="1" applyFill="1" applyBorder="1" applyAlignment="1">
      <alignment horizontal="right" vertical="center" wrapText="1"/>
    </xf>
    <xf numFmtId="0" fontId="2" fillId="38" borderId="39" xfId="57" applyFont="1" applyFill="1" applyBorder="1" applyAlignment="1">
      <alignment horizontal="right" vertical="center" wrapText="1"/>
    </xf>
    <xf numFmtId="3" fontId="2" fillId="38" borderId="11" xfId="57" applyNumberFormat="1" applyFont="1" applyFill="1" applyBorder="1" applyAlignment="1">
      <alignment horizontal="right" vertical="center" wrapText="1"/>
    </xf>
    <xf numFmtId="0" fontId="2" fillId="38" borderId="11" xfId="57" applyFont="1" applyFill="1" applyBorder="1" applyAlignment="1">
      <alignment horizontal="right" vertical="center" wrapText="1"/>
    </xf>
    <xf numFmtId="0" fontId="2" fillId="39" borderId="11" xfId="57" applyFont="1" applyFill="1" applyBorder="1" applyAlignment="1">
      <alignment horizontal="right" vertical="center" wrapText="1"/>
    </xf>
    <xf numFmtId="3" fontId="2" fillId="38" borderId="37" xfId="57" applyNumberFormat="1" applyFont="1" applyFill="1" applyBorder="1" applyAlignment="1">
      <alignment horizontal="right" vertical="center" wrapText="1"/>
    </xf>
    <xf numFmtId="0" fontId="2" fillId="38" borderId="37" xfId="57" applyFont="1" applyFill="1" applyBorder="1" applyAlignment="1">
      <alignment horizontal="right" vertical="center" wrapText="1"/>
    </xf>
    <xf numFmtId="2" fontId="2" fillId="38" borderId="37" xfId="57" applyNumberFormat="1" applyFont="1" applyFill="1" applyBorder="1" applyAlignment="1">
      <alignment horizontal="right" vertical="center" wrapText="1"/>
    </xf>
    <xf numFmtId="0" fontId="2" fillId="38" borderId="40" xfId="57" applyFont="1" applyFill="1" applyBorder="1" applyAlignment="1">
      <alignment vertical="center" wrapText="1"/>
    </xf>
    <xf numFmtId="3" fontId="2" fillId="38" borderId="33" xfId="57" applyNumberFormat="1" applyFont="1" applyFill="1" applyBorder="1" applyAlignment="1">
      <alignment horizontal="right" vertical="center" wrapText="1"/>
    </xf>
    <xf numFmtId="0" fontId="2" fillId="38" borderId="40" xfId="57" applyFont="1" applyFill="1" applyBorder="1" applyAlignment="1">
      <alignment horizontal="right" vertical="center" wrapText="1"/>
    </xf>
    <xf numFmtId="3" fontId="2" fillId="38" borderId="21" xfId="57" applyNumberFormat="1" applyFont="1" applyFill="1" applyBorder="1" applyAlignment="1">
      <alignment horizontal="right" vertical="center" wrapText="1"/>
    </xf>
    <xf numFmtId="0" fontId="2" fillId="39" borderId="11" xfId="57" applyFont="1" applyFill="1" applyBorder="1" applyAlignment="1">
      <alignment vertical="center" wrapText="1"/>
    </xf>
    <xf numFmtId="3" fontId="2" fillId="39" borderId="11" xfId="57" applyNumberFormat="1" applyFont="1" applyFill="1" applyBorder="1" applyAlignment="1">
      <alignment horizontal="right" vertical="center" wrapText="1"/>
    </xf>
    <xf numFmtId="3" fontId="2" fillId="38" borderId="35" xfId="57" applyNumberFormat="1" applyFont="1" applyFill="1" applyBorder="1" applyAlignment="1">
      <alignment horizontal="right" vertical="center" wrapText="1"/>
    </xf>
    <xf numFmtId="2" fontId="2" fillId="39" borderId="11" xfId="57" applyNumberFormat="1" applyFont="1" applyFill="1" applyBorder="1" applyAlignment="1">
      <alignment horizontal="right" vertical="center" wrapText="1"/>
    </xf>
    <xf numFmtId="0" fontId="3" fillId="39" borderId="11" xfId="57" applyFont="1" applyFill="1" applyBorder="1" applyAlignment="1">
      <alignment horizontal="right" vertical="center" wrapText="1"/>
    </xf>
    <xf numFmtId="3" fontId="2" fillId="38" borderId="36" xfId="57" applyNumberFormat="1" applyFont="1" applyFill="1" applyBorder="1" applyAlignment="1">
      <alignment horizontal="right" vertical="center" wrapText="1"/>
    </xf>
    <xf numFmtId="3" fontId="50" fillId="39" borderId="11" xfId="57" applyNumberFormat="1" applyFont="1" applyFill="1" applyBorder="1" applyAlignment="1">
      <alignment horizontal="right" vertical="center" wrapText="1"/>
    </xf>
    <xf numFmtId="0" fontId="2" fillId="39" borderId="37" xfId="57" applyFont="1" applyFill="1" applyBorder="1" applyAlignment="1">
      <alignment horizontal="right" vertical="center" wrapText="1"/>
    </xf>
    <xf numFmtId="0" fontId="2" fillId="38" borderId="11" xfId="57" applyFont="1" applyFill="1" applyBorder="1" applyAlignment="1">
      <alignment vertical="center" wrapText="1"/>
    </xf>
    <xf numFmtId="0" fontId="2" fillId="38" borderId="11" xfId="57" applyFont="1" applyFill="1" applyBorder="1" applyAlignment="1">
      <alignment horizontal="justify" vertical="center" wrapText="1"/>
    </xf>
    <xf numFmtId="2" fontId="2" fillId="38" borderId="11" xfId="57" applyNumberFormat="1" applyFont="1" applyFill="1" applyBorder="1" applyAlignment="1">
      <alignment horizontal="right" vertical="center" wrapText="1"/>
    </xf>
    <xf numFmtId="0" fontId="2" fillId="38" borderId="22" xfId="57" applyFont="1" applyFill="1" applyBorder="1" applyAlignment="1">
      <alignment vertical="center" wrapText="1"/>
    </xf>
    <xf numFmtId="0" fontId="2" fillId="38" borderId="23" xfId="57" applyFont="1" applyFill="1" applyBorder="1" applyAlignment="1">
      <alignment vertical="center" wrapText="1"/>
    </xf>
    <xf numFmtId="0" fontId="2" fillId="37" borderId="11" xfId="57" applyFont="1" applyFill="1" applyBorder="1" applyAlignment="1">
      <alignment vertical="center" wrapText="1"/>
    </xf>
    <xf numFmtId="3" fontId="2" fillId="40" borderId="11" xfId="57" applyNumberFormat="1" applyFont="1" applyFill="1" applyBorder="1" applyAlignment="1">
      <alignment horizontal="right" vertical="center" wrapText="1"/>
    </xf>
    <xf numFmtId="2" fontId="2" fillId="40" borderId="11" xfId="57" applyNumberFormat="1" applyFont="1" applyFill="1" applyBorder="1" applyAlignment="1">
      <alignment horizontal="right" vertical="center" wrapText="1"/>
    </xf>
    <xf numFmtId="0" fontId="2" fillId="0" borderId="45" xfId="57" applyFont="1" applyBorder="1" applyAlignment="1">
      <alignment vertical="center" wrapText="1"/>
    </xf>
    <xf numFmtId="0" fontId="2" fillId="0" borderId="46" xfId="57" applyFont="1" applyBorder="1" applyAlignment="1">
      <alignment vertical="center" textRotation="90" wrapText="1"/>
    </xf>
    <xf numFmtId="0" fontId="2" fillId="0" borderId="37" xfId="57" applyFont="1" applyBorder="1" applyAlignment="1">
      <alignment vertical="center" textRotation="90" wrapText="1"/>
    </xf>
    <xf numFmtId="0" fontId="2" fillId="0" borderId="37" xfId="57" applyFont="1" applyBorder="1" applyAlignment="1">
      <alignment vertical="center" wrapText="1"/>
    </xf>
    <xf numFmtId="0" fontId="2" fillId="41" borderId="37" xfId="57" applyFont="1" applyFill="1" applyBorder="1" applyAlignment="1">
      <alignment vertical="center" wrapText="1"/>
    </xf>
    <xf numFmtId="0" fontId="2" fillId="38" borderId="11" xfId="57" applyFont="1" applyFill="1" applyBorder="1" applyAlignment="1">
      <alignment vertical="center" wrapText="1"/>
    </xf>
    <xf numFmtId="0" fontId="2" fillId="0" borderId="47" xfId="57" applyFont="1" applyBorder="1" applyAlignment="1">
      <alignment vertical="center" wrapText="1"/>
    </xf>
    <xf numFmtId="0" fontId="2" fillId="0" borderId="11" xfId="57" applyFont="1" applyBorder="1" applyAlignment="1">
      <alignment vertical="center" textRotation="90" wrapText="1"/>
    </xf>
    <xf numFmtId="0" fontId="2" fillId="33" borderId="23" xfId="57" applyFont="1" applyFill="1" applyBorder="1" applyAlignment="1">
      <alignment vertical="center" wrapText="1"/>
    </xf>
    <xf numFmtId="0" fontId="2" fillId="0" borderId="11" xfId="57" applyFont="1" applyBorder="1" applyAlignment="1">
      <alignment vertical="center" wrapText="1"/>
    </xf>
    <xf numFmtId="0" fontId="2" fillId="33" borderId="41" xfId="57" applyFont="1" applyFill="1" applyBorder="1" applyAlignment="1">
      <alignment vertical="center" wrapText="1"/>
    </xf>
    <xf numFmtId="0" fontId="2" fillId="33" borderId="11" xfId="57" applyFont="1" applyFill="1" applyBorder="1" applyAlignment="1">
      <alignment vertical="center" wrapText="1"/>
    </xf>
    <xf numFmtId="0" fontId="2" fillId="33" borderId="37" xfId="57" applyFont="1" applyFill="1" applyBorder="1" applyAlignment="1">
      <alignment vertical="center" wrapText="1"/>
    </xf>
    <xf numFmtId="0" fontId="2" fillId="41" borderId="11" xfId="57" applyFont="1" applyFill="1" applyBorder="1" applyAlignment="1">
      <alignment vertical="center" wrapText="1"/>
    </xf>
    <xf numFmtId="0" fontId="2" fillId="39" borderId="11" xfId="57" applyFont="1" applyFill="1" applyBorder="1" applyAlignment="1">
      <alignment vertical="center" wrapText="1"/>
    </xf>
    <xf numFmtId="0" fontId="2" fillId="0" borderId="48" xfId="57" applyFont="1" applyBorder="1" applyAlignment="1">
      <alignment vertical="center" wrapText="1"/>
    </xf>
    <xf numFmtId="0" fontId="2" fillId="0" borderId="22" xfId="57" applyFont="1" applyBorder="1" applyAlignment="1">
      <alignment vertical="center" wrapText="1"/>
    </xf>
    <xf numFmtId="0" fontId="2" fillId="0" borderId="43" xfId="57" applyFont="1" applyBorder="1" applyAlignment="1">
      <alignment vertical="center" wrapText="1"/>
    </xf>
    <xf numFmtId="0" fontId="2" fillId="0" borderId="34" xfId="57" applyFont="1" applyBorder="1" applyAlignment="1">
      <alignment vertical="center" wrapText="1"/>
    </xf>
    <xf numFmtId="0" fontId="2" fillId="34" borderId="11" xfId="57" applyFont="1" applyFill="1" applyBorder="1" applyAlignment="1">
      <alignment vertical="center" wrapText="1"/>
    </xf>
    <xf numFmtId="0" fontId="2" fillId="41" borderId="34" xfId="57" applyFont="1" applyFill="1" applyBorder="1" applyAlignment="1">
      <alignment vertical="center" wrapText="1"/>
    </xf>
    <xf numFmtId="0" fontId="2" fillId="39" borderId="34" xfId="57" applyFont="1" applyFill="1" applyBorder="1" applyAlignment="1">
      <alignment vertical="center" wrapText="1"/>
    </xf>
    <xf numFmtId="0" fontId="2" fillId="34" borderId="34" xfId="57" applyFont="1" applyFill="1" applyBorder="1" applyAlignment="1">
      <alignment vertical="center" wrapText="1"/>
    </xf>
    <xf numFmtId="0" fontId="2" fillId="34" borderId="48" xfId="57" applyFont="1" applyFill="1" applyBorder="1" applyAlignment="1">
      <alignment vertical="center" wrapText="1"/>
    </xf>
    <xf numFmtId="0" fontId="2" fillId="37" borderId="11" xfId="57" applyFont="1" applyFill="1" applyBorder="1" applyAlignment="1">
      <alignment vertical="center" wrapText="1"/>
    </xf>
    <xf numFmtId="0" fontId="2" fillId="34" borderId="34" xfId="57" applyFont="1" applyFill="1" applyBorder="1" applyAlignment="1">
      <alignment horizontal="center" vertical="center" wrapText="1"/>
    </xf>
    <xf numFmtId="0" fontId="2" fillId="34" borderId="48" xfId="57" applyFont="1" applyFill="1" applyBorder="1" applyAlignment="1">
      <alignment horizontal="center" vertical="center" wrapText="1"/>
    </xf>
    <xf numFmtId="0" fontId="2" fillId="38" borderId="37" xfId="57" applyFont="1" applyFill="1" applyBorder="1" applyAlignment="1">
      <alignment vertical="center" wrapText="1"/>
    </xf>
    <xf numFmtId="0" fontId="2" fillId="33" borderId="34" xfId="57" applyFont="1" applyFill="1" applyBorder="1" applyAlignment="1">
      <alignment horizontal="left" vertical="center" wrapText="1"/>
    </xf>
    <xf numFmtId="0" fontId="2" fillId="33" borderId="48" xfId="57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L139"/>
  <sheetViews>
    <sheetView tabSelected="1" zoomScale="80" zoomScaleNormal="80" zoomScalePageLayoutView="0" workbookViewId="0" topLeftCell="A1">
      <selection activeCell="H117" sqref="H117"/>
    </sheetView>
  </sheetViews>
  <sheetFormatPr defaultColWidth="9.140625" defaultRowHeight="15"/>
  <cols>
    <col min="1" max="1" width="12.8515625" style="0" customWidth="1"/>
    <col min="2" max="2" width="0" style="0" hidden="1" customWidth="1"/>
    <col min="3" max="3" width="10.7109375" style="0" customWidth="1"/>
    <col min="4" max="4" width="16.57421875" style="0" customWidth="1"/>
    <col min="5" max="5" width="9.28125" style="0" bestFit="1" customWidth="1"/>
    <col min="6" max="6" width="16.421875" style="0" customWidth="1"/>
    <col min="7" max="7" width="9.28125" style="0" bestFit="1" customWidth="1"/>
    <col min="8" max="8" width="14.8515625" style="0" customWidth="1"/>
    <col min="9" max="9" width="13.28125" style="0" customWidth="1"/>
    <col min="10" max="10" width="13.140625" style="0" customWidth="1"/>
    <col min="11" max="13" width="9.28125" style="0" bestFit="1" customWidth="1"/>
    <col min="14" max="14" width="14.28125" style="0" customWidth="1"/>
    <col min="15" max="15" width="16.7109375" style="0" customWidth="1"/>
    <col min="16" max="16" width="11.28125" style="0" customWidth="1"/>
    <col min="17" max="17" width="15.421875" style="0" customWidth="1"/>
    <col min="18" max="18" width="15.00390625" style="0" customWidth="1"/>
    <col min="19" max="19" width="14.28125" style="0" customWidth="1"/>
    <col min="20" max="20" width="12.00390625" style="0" customWidth="1"/>
    <col min="22" max="22" width="24.57421875" style="105" customWidth="1"/>
    <col min="23" max="23" width="23.28125" style="105" customWidth="1"/>
    <col min="24" max="24" width="19.57421875" style="105" customWidth="1"/>
    <col min="25" max="25" width="23.8515625" style="105" customWidth="1"/>
    <col min="26" max="26" width="13.00390625" style="105" customWidth="1"/>
    <col min="27" max="27" width="9.140625" style="105" customWidth="1"/>
    <col min="28" max="28" width="17.28125" style="105" customWidth="1"/>
    <col min="29" max="29" width="9.7109375" style="105" customWidth="1"/>
    <col min="30" max="30" width="19.00390625" style="105" customWidth="1"/>
    <col min="31" max="31" width="17.00390625" style="105" customWidth="1"/>
    <col min="32" max="32" width="14.8515625" style="105" customWidth="1"/>
    <col min="33" max="33" width="9.140625" style="105" customWidth="1"/>
    <col min="34" max="34" width="31.8515625" style="105" customWidth="1"/>
    <col min="35" max="35" width="21.421875" style="0" customWidth="1"/>
  </cols>
  <sheetData>
    <row r="1" spans="1:20" ht="15">
      <c r="A1" s="4" t="s">
        <v>0</v>
      </c>
      <c r="B1" s="5"/>
      <c r="C1" s="6"/>
      <c r="D1" s="6"/>
      <c r="E1" s="6"/>
      <c r="F1" s="87"/>
      <c r="G1" s="6"/>
      <c r="H1" s="6"/>
      <c r="I1" s="6"/>
      <c r="J1" s="6"/>
      <c r="K1" s="6"/>
      <c r="L1" s="6"/>
      <c r="M1" s="6"/>
      <c r="N1" s="6"/>
      <c r="O1" s="6"/>
      <c r="P1" s="6"/>
      <c r="Q1" s="24"/>
      <c r="R1" s="6"/>
      <c r="S1" s="6"/>
      <c r="T1" s="6"/>
    </row>
    <row r="2" spans="1:20" ht="1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4"/>
      <c r="R2" s="6"/>
      <c r="S2" s="6"/>
      <c r="T2" s="6"/>
    </row>
    <row r="3" spans="1:20" ht="24">
      <c r="A3" s="163"/>
      <c r="B3" s="164" t="s">
        <v>2</v>
      </c>
      <c r="C3" s="164" t="s">
        <v>3</v>
      </c>
      <c r="D3" s="160" t="s">
        <v>4</v>
      </c>
      <c r="E3" s="160"/>
      <c r="F3" s="160"/>
      <c r="G3" s="160"/>
      <c r="H3" s="7" t="s">
        <v>5</v>
      </c>
      <c r="I3" s="157" t="s">
        <v>6</v>
      </c>
      <c r="J3" s="157"/>
      <c r="K3" s="157"/>
      <c r="L3" s="157"/>
      <c r="M3" s="157"/>
      <c r="N3" s="158" t="s">
        <v>7</v>
      </c>
      <c r="O3" s="159" t="s">
        <v>8</v>
      </c>
      <c r="P3" s="159" t="s">
        <v>9</v>
      </c>
      <c r="Q3" s="8" t="s">
        <v>10</v>
      </c>
      <c r="R3" s="9" t="s">
        <v>11</v>
      </c>
      <c r="S3" s="160" t="s">
        <v>12</v>
      </c>
      <c r="T3" s="159" t="s">
        <v>13</v>
      </c>
    </row>
    <row r="4" spans="1:20" ht="69">
      <c r="A4" s="163"/>
      <c r="B4" s="164"/>
      <c r="C4" s="164"/>
      <c r="D4" s="10" t="s">
        <v>14</v>
      </c>
      <c r="E4" s="11" t="s">
        <v>15</v>
      </c>
      <c r="F4" s="11" t="s">
        <v>16</v>
      </c>
      <c r="G4" s="12" t="s">
        <v>17</v>
      </c>
      <c r="H4" s="13" t="s">
        <v>14</v>
      </c>
      <c r="I4" s="14" t="s">
        <v>14</v>
      </c>
      <c r="J4" s="11" t="s">
        <v>18</v>
      </c>
      <c r="K4" s="11" t="s">
        <v>19</v>
      </c>
      <c r="L4" s="15" t="s">
        <v>20</v>
      </c>
      <c r="M4" s="16" t="s">
        <v>21</v>
      </c>
      <c r="N4" s="158"/>
      <c r="O4" s="159"/>
      <c r="P4" s="159"/>
      <c r="Q4" s="17" t="s">
        <v>22</v>
      </c>
      <c r="R4" s="10" t="s">
        <v>23</v>
      </c>
      <c r="S4" s="160"/>
      <c r="T4" s="159"/>
    </row>
    <row r="5" spans="1:20" ht="15">
      <c r="A5" s="1"/>
      <c r="B5" s="164"/>
      <c r="C5" s="164"/>
      <c r="D5" s="25" t="s">
        <v>24</v>
      </c>
      <c r="E5" s="26" t="s">
        <v>25</v>
      </c>
      <c r="F5" s="26" t="s">
        <v>26</v>
      </c>
      <c r="G5" s="27" t="s">
        <v>27</v>
      </c>
      <c r="H5" s="28" t="s">
        <v>28</v>
      </c>
      <c r="I5" s="29" t="s">
        <v>29</v>
      </c>
      <c r="J5" s="26" t="s">
        <v>30</v>
      </c>
      <c r="K5" s="26" t="s">
        <v>31</v>
      </c>
      <c r="L5" s="30" t="s">
        <v>32</v>
      </c>
      <c r="M5" s="31" t="s">
        <v>33</v>
      </c>
      <c r="N5" s="32" t="s">
        <v>34</v>
      </c>
      <c r="O5" s="20" t="s">
        <v>35</v>
      </c>
      <c r="P5" s="20" t="s">
        <v>36</v>
      </c>
      <c r="Q5" s="33" t="s">
        <v>37</v>
      </c>
      <c r="R5" s="25" t="s">
        <v>38</v>
      </c>
      <c r="S5" s="20" t="s">
        <v>39</v>
      </c>
      <c r="T5" s="20" t="s">
        <v>40</v>
      </c>
    </row>
    <row r="6" spans="1:20" ht="15">
      <c r="A6" s="1"/>
      <c r="B6" s="164"/>
      <c r="C6" s="164"/>
      <c r="D6" s="34" t="s">
        <v>41</v>
      </c>
      <c r="E6" s="35"/>
      <c r="F6" s="35"/>
      <c r="G6" s="36"/>
      <c r="H6" s="37" t="s">
        <v>42</v>
      </c>
      <c r="I6" s="38" t="s">
        <v>43</v>
      </c>
      <c r="J6" s="35"/>
      <c r="K6" s="35"/>
      <c r="L6" s="39"/>
      <c r="M6" s="40"/>
      <c r="N6" s="41"/>
      <c r="O6" s="19" t="s">
        <v>44</v>
      </c>
      <c r="P6" s="19"/>
      <c r="Q6" s="42" t="s">
        <v>45</v>
      </c>
      <c r="R6" s="34"/>
      <c r="S6" s="19" t="s">
        <v>46</v>
      </c>
      <c r="T6" s="19"/>
    </row>
    <row r="7" spans="1:22" ht="24">
      <c r="A7" s="161" t="s">
        <v>47</v>
      </c>
      <c r="B7" s="162" t="s">
        <v>48</v>
      </c>
      <c r="C7" s="127" t="s">
        <v>49</v>
      </c>
      <c r="D7" s="128">
        <f>SUM(D9,D15,D17)</f>
        <v>3479741046</v>
      </c>
      <c r="E7" s="129">
        <v>0</v>
      </c>
      <c r="F7" s="128">
        <f>SUM(F9,F15,F17)</f>
        <v>3479741046</v>
      </c>
      <c r="G7" s="130">
        <v>0</v>
      </c>
      <c r="H7" s="131">
        <f>SUM(I7+N7)</f>
        <v>2039134429</v>
      </c>
      <c r="I7" s="132">
        <f aca="true" t="shared" si="0" ref="I7:I22">J7+K7+L7+M7</f>
        <v>0</v>
      </c>
      <c r="J7" s="133">
        <v>0</v>
      </c>
      <c r="K7" s="133">
        <v>0</v>
      </c>
      <c r="L7" s="133">
        <v>0</v>
      </c>
      <c r="M7" s="133">
        <v>0</v>
      </c>
      <c r="N7" s="131">
        <f>SUM(N9+N15+N17)</f>
        <v>2039134429</v>
      </c>
      <c r="O7" s="134">
        <v>5518875475</v>
      </c>
      <c r="P7" s="135"/>
      <c r="Q7" s="128">
        <f>(D7-((D7*S7))/100)</f>
        <v>3303833500</v>
      </c>
      <c r="R7" s="128">
        <v>175907546</v>
      </c>
      <c r="S7" s="136">
        <f>(R7/D7)*100</f>
        <v>5.05519070742944</v>
      </c>
      <c r="T7" s="135">
        <v>0</v>
      </c>
      <c r="V7" s="106"/>
    </row>
    <row r="8" spans="1:22" ht="24">
      <c r="A8" s="161"/>
      <c r="B8" s="162"/>
      <c r="C8" s="137" t="s">
        <v>50</v>
      </c>
      <c r="D8" s="128">
        <f>SUM(D10,D18,D16)</f>
        <v>370190132</v>
      </c>
      <c r="E8" s="138">
        <v>0</v>
      </c>
      <c r="F8" s="128">
        <f>SUM(F10,F16,F18)</f>
        <v>370190132</v>
      </c>
      <c r="G8" s="130">
        <v>0</v>
      </c>
      <c r="H8" s="131">
        <f aca="true" t="shared" si="1" ref="H8:H73">SUM(I8+N8)</f>
        <v>210811765</v>
      </c>
      <c r="I8" s="132">
        <f t="shared" si="0"/>
        <v>0</v>
      </c>
      <c r="J8" s="133">
        <v>0</v>
      </c>
      <c r="K8" s="133">
        <v>0</v>
      </c>
      <c r="L8" s="133">
        <v>0</v>
      </c>
      <c r="M8" s="133">
        <v>0</v>
      </c>
      <c r="N8" s="131">
        <f>SUM(N10+N16+N18)</f>
        <v>210811765</v>
      </c>
      <c r="O8" s="134">
        <v>581001897</v>
      </c>
      <c r="P8" s="139"/>
      <c r="Q8" s="128">
        <f>(D8-((D8*S8))/100)</f>
        <v>351052186</v>
      </c>
      <c r="R8" s="140">
        <v>19137946</v>
      </c>
      <c r="S8" s="136">
        <f>(R8/D8)*100</f>
        <v>5.169761251226437</v>
      </c>
      <c r="T8" s="139">
        <v>0</v>
      </c>
      <c r="V8" s="106"/>
    </row>
    <row r="9" spans="1:22" ht="24">
      <c r="A9" s="165" t="s">
        <v>51</v>
      </c>
      <c r="B9" s="166" t="s">
        <v>48</v>
      </c>
      <c r="C9" s="57" t="s">
        <v>49</v>
      </c>
      <c r="D9" s="58">
        <f>D11+D13</f>
        <v>2185468042</v>
      </c>
      <c r="E9" s="51">
        <v>0</v>
      </c>
      <c r="F9" s="58">
        <f>F11+F13</f>
        <v>2185468042</v>
      </c>
      <c r="G9" s="52">
        <v>0</v>
      </c>
      <c r="H9" s="22">
        <f t="shared" si="1"/>
        <v>1388190259</v>
      </c>
      <c r="I9" s="23">
        <f t="shared" si="0"/>
        <v>0</v>
      </c>
      <c r="J9" s="53">
        <v>0</v>
      </c>
      <c r="K9" s="53">
        <v>0</v>
      </c>
      <c r="L9" s="53">
        <v>0</v>
      </c>
      <c r="M9" s="53">
        <v>0</v>
      </c>
      <c r="N9" s="22">
        <f>SUM(N11+N13)</f>
        <v>1388190259</v>
      </c>
      <c r="O9" s="54">
        <f aca="true" t="shared" si="2" ref="O9:O22">D9+H9</f>
        <v>3573658301</v>
      </c>
      <c r="P9" s="56"/>
      <c r="Q9" s="18">
        <f>(D9-((D9*S7))/100)</f>
        <v>2074988464.6269758</v>
      </c>
      <c r="R9" s="59"/>
      <c r="S9" s="104"/>
      <c r="T9" s="56">
        <v>0</v>
      </c>
      <c r="V9" s="106"/>
    </row>
    <row r="10" spans="1:22" ht="24">
      <c r="A10" s="165"/>
      <c r="B10" s="166"/>
      <c r="C10" s="60" t="s">
        <v>50</v>
      </c>
      <c r="D10" s="22">
        <f>D12+D14</f>
        <v>253362773</v>
      </c>
      <c r="E10" s="43">
        <v>0</v>
      </c>
      <c r="F10" s="22">
        <f>F12+F14</f>
        <v>253362773</v>
      </c>
      <c r="G10" s="52">
        <v>0</v>
      </c>
      <c r="H10" s="22">
        <f>SUM(I10+N10)</f>
        <v>144537517</v>
      </c>
      <c r="I10" s="23">
        <f t="shared" si="0"/>
        <v>0</v>
      </c>
      <c r="J10" s="53">
        <v>0</v>
      </c>
      <c r="K10" s="53">
        <v>0</v>
      </c>
      <c r="L10" s="53">
        <v>0</v>
      </c>
      <c r="M10" s="53">
        <v>0</v>
      </c>
      <c r="N10" s="22">
        <f>SUM(N12+N14)</f>
        <v>144537517</v>
      </c>
      <c r="O10" s="54">
        <f t="shared" si="2"/>
        <v>397900290</v>
      </c>
      <c r="P10" s="61"/>
      <c r="Q10" s="18">
        <f>(D10-((D10*S8))/100)</f>
        <v>240264522.5364132</v>
      </c>
      <c r="R10" s="62"/>
      <c r="S10" s="63"/>
      <c r="T10" s="61">
        <v>0</v>
      </c>
      <c r="V10" s="106"/>
    </row>
    <row r="11" spans="1:22" ht="24">
      <c r="A11" s="167" t="s">
        <v>52</v>
      </c>
      <c r="B11" s="166" t="s">
        <v>48</v>
      </c>
      <c r="C11" s="57" t="s">
        <v>49</v>
      </c>
      <c r="D11" s="21">
        <v>2046233043</v>
      </c>
      <c r="E11" s="51">
        <v>0</v>
      </c>
      <c r="F11" s="21">
        <v>2046233043</v>
      </c>
      <c r="G11" s="52">
        <v>0</v>
      </c>
      <c r="H11" s="22">
        <f t="shared" si="1"/>
        <v>1246712394</v>
      </c>
      <c r="I11" s="23">
        <f t="shared" si="0"/>
        <v>0</v>
      </c>
      <c r="J11" s="53">
        <v>0</v>
      </c>
      <c r="K11" s="53">
        <v>0</v>
      </c>
      <c r="L11" s="53">
        <v>0</v>
      </c>
      <c r="M11" s="53">
        <v>0</v>
      </c>
      <c r="N11" s="22">
        <v>1246712394</v>
      </c>
      <c r="O11" s="54">
        <f t="shared" si="2"/>
        <v>3292945437</v>
      </c>
      <c r="P11" s="64"/>
      <c r="Q11" s="18">
        <f>(D11-((D11*S7))/100)</f>
        <v>1942792060.3579133</v>
      </c>
      <c r="R11" s="65"/>
      <c r="S11" s="66"/>
      <c r="T11" s="64">
        <v>0</v>
      </c>
      <c r="V11" s="106"/>
    </row>
    <row r="12" spans="1:24" ht="24">
      <c r="A12" s="167"/>
      <c r="B12" s="166"/>
      <c r="C12" s="60" t="s">
        <v>50</v>
      </c>
      <c r="D12" s="21">
        <v>243492161</v>
      </c>
      <c r="E12" s="51">
        <v>0</v>
      </c>
      <c r="F12" s="21">
        <v>243492161</v>
      </c>
      <c r="G12" s="52">
        <v>0</v>
      </c>
      <c r="H12" s="22">
        <f t="shared" si="1"/>
        <v>134835196</v>
      </c>
      <c r="I12" s="23">
        <v>0</v>
      </c>
      <c r="J12" s="53">
        <v>0</v>
      </c>
      <c r="K12" s="53">
        <v>0</v>
      </c>
      <c r="L12" s="53">
        <v>0</v>
      </c>
      <c r="M12" s="53">
        <v>0</v>
      </c>
      <c r="N12" s="22">
        <v>134835196</v>
      </c>
      <c r="O12" s="54">
        <f t="shared" si="2"/>
        <v>378327357</v>
      </c>
      <c r="P12" s="67"/>
      <c r="Q12" s="18">
        <f>(D12-((D12*S8))/100)</f>
        <v>230904197.6108481</v>
      </c>
      <c r="R12" s="68"/>
      <c r="S12" s="69"/>
      <c r="T12" s="67">
        <v>0</v>
      </c>
      <c r="V12" s="93"/>
      <c r="W12" s="92"/>
      <c r="X12" s="92"/>
    </row>
    <row r="13" spans="1:24" ht="24">
      <c r="A13" s="168" t="s">
        <v>53</v>
      </c>
      <c r="B13" s="166" t="s">
        <v>48</v>
      </c>
      <c r="C13" s="60" t="s">
        <v>49</v>
      </c>
      <c r="D13" s="22">
        <v>139234999</v>
      </c>
      <c r="E13" s="51">
        <v>0</v>
      </c>
      <c r="F13" s="22">
        <v>139234999</v>
      </c>
      <c r="G13" s="52">
        <v>0</v>
      </c>
      <c r="H13" s="22">
        <f t="shared" si="1"/>
        <v>141477865</v>
      </c>
      <c r="I13" s="23">
        <v>0</v>
      </c>
      <c r="J13" s="53">
        <v>0</v>
      </c>
      <c r="K13" s="53">
        <v>0</v>
      </c>
      <c r="L13" s="53">
        <v>0</v>
      </c>
      <c r="M13" s="53">
        <v>0</v>
      </c>
      <c r="N13" s="22">
        <v>141477865</v>
      </c>
      <c r="O13" s="54">
        <f t="shared" si="2"/>
        <v>280712864</v>
      </c>
      <c r="P13" s="67"/>
      <c r="Q13" s="18">
        <f>(D13-((D13*S7))/100)</f>
        <v>132196404.26906252</v>
      </c>
      <c r="R13" s="68"/>
      <c r="S13" s="69"/>
      <c r="T13" s="67">
        <v>0</v>
      </c>
      <c r="V13" s="93"/>
      <c r="W13" s="92"/>
      <c r="X13" s="92"/>
    </row>
    <row r="14" spans="1:24" ht="24">
      <c r="A14" s="168"/>
      <c r="B14" s="166"/>
      <c r="C14" s="60" t="s">
        <v>50</v>
      </c>
      <c r="D14" s="22">
        <v>9870612</v>
      </c>
      <c r="E14" s="43">
        <v>0</v>
      </c>
      <c r="F14" s="22">
        <v>9870612</v>
      </c>
      <c r="G14" s="52">
        <v>0</v>
      </c>
      <c r="H14" s="22">
        <f t="shared" si="1"/>
        <v>9702321</v>
      </c>
      <c r="I14" s="23">
        <v>0</v>
      </c>
      <c r="J14" s="53">
        <v>0</v>
      </c>
      <c r="K14" s="53">
        <v>0</v>
      </c>
      <c r="L14" s="53">
        <v>0</v>
      </c>
      <c r="M14" s="53">
        <v>0</v>
      </c>
      <c r="N14" s="22">
        <v>9702321</v>
      </c>
      <c r="O14" s="54">
        <f t="shared" si="2"/>
        <v>19572933</v>
      </c>
      <c r="P14" s="67"/>
      <c r="Q14" s="18">
        <f>(D14-((D14*S8))/100)</f>
        <v>9360324.925565094</v>
      </c>
      <c r="R14" s="68"/>
      <c r="S14" s="69"/>
      <c r="T14" s="67">
        <v>0</v>
      </c>
      <c r="V14" s="92"/>
      <c r="W14" s="92"/>
      <c r="X14" s="92"/>
    </row>
    <row r="15" spans="1:24" ht="24">
      <c r="A15" s="169" t="s">
        <v>54</v>
      </c>
      <c r="B15" s="166" t="s">
        <v>48</v>
      </c>
      <c r="C15" s="57" t="s">
        <v>49</v>
      </c>
      <c r="D15" s="22">
        <v>589220570</v>
      </c>
      <c r="E15" s="51">
        <v>0</v>
      </c>
      <c r="F15" s="22">
        <v>589220570</v>
      </c>
      <c r="G15" s="52">
        <v>0</v>
      </c>
      <c r="H15" s="22">
        <f t="shared" si="1"/>
        <v>243521969</v>
      </c>
      <c r="I15" s="23">
        <f t="shared" si="0"/>
        <v>0</v>
      </c>
      <c r="J15" s="53">
        <v>0</v>
      </c>
      <c r="K15" s="53">
        <v>0</v>
      </c>
      <c r="L15" s="53">
        <v>0</v>
      </c>
      <c r="M15" s="53">
        <v>0</v>
      </c>
      <c r="N15" s="22">
        <v>243521969</v>
      </c>
      <c r="O15" s="54">
        <f t="shared" si="2"/>
        <v>832742539</v>
      </c>
      <c r="P15" s="64"/>
      <c r="Q15" s="18">
        <f>(D15-((D15*S7))/100)</f>
        <v>559434346.4990972</v>
      </c>
      <c r="R15" s="65"/>
      <c r="S15" s="66"/>
      <c r="T15" s="64">
        <v>0</v>
      </c>
      <c r="V15" s="93"/>
      <c r="W15" s="92"/>
      <c r="X15" s="92"/>
    </row>
    <row r="16" spans="1:24" ht="24">
      <c r="A16" s="169"/>
      <c r="B16" s="166"/>
      <c r="C16" s="70" t="s">
        <v>50</v>
      </c>
      <c r="D16" s="22">
        <v>96306804</v>
      </c>
      <c r="E16" s="43">
        <v>0</v>
      </c>
      <c r="F16" s="22">
        <v>96306804</v>
      </c>
      <c r="G16" s="52">
        <v>0</v>
      </c>
      <c r="H16" s="22">
        <f t="shared" si="1"/>
        <v>50327599</v>
      </c>
      <c r="I16" s="23">
        <v>0</v>
      </c>
      <c r="J16" s="53">
        <v>0</v>
      </c>
      <c r="K16" s="53">
        <v>0</v>
      </c>
      <c r="L16" s="53">
        <v>0</v>
      </c>
      <c r="M16" s="53">
        <v>0</v>
      </c>
      <c r="N16" s="22">
        <v>50327599</v>
      </c>
      <c r="O16" s="54">
        <f t="shared" si="2"/>
        <v>146634403</v>
      </c>
      <c r="P16" s="61"/>
      <c r="Q16" s="18">
        <f>(D16-((D16*S8))/100)</f>
        <v>91327972.16451341</v>
      </c>
      <c r="R16" s="62"/>
      <c r="S16" s="63"/>
      <c r="T16" s="61">
        <v>0</v>
      </c>
      <c r="V16" s="93"/>
      <c r="W16" s="92"/>
      <c r="X16" s="92"/>
    </row>
    <row r="17" spans="1:24" ht="24">
      <c r="A17" s="168" t="s">
        <v>55</v>
      </c>
      <c r="B17" s="166" t="s">
        <v>48</v>
      </c>
      <c r="C17" s="71" t="s">
        <v>49</v>
      </c>
      <c r="D17" s="22">
        <f aca="true" t="shared" si="3" ref="D17:F18">SUM(D19,D21)</f>
        <v>705052434</v>
      </c>
      <c r="E17" s="22">
        <f t="shared" si="3"/>
        <v>0</v>
      </c>
      <c r="F17" s="22">
        <f t="shared" si="3"/>
        <v>705052434</v>
      </c>
      <c r="G17" s="52">
        <v>0</v>
      </c>
      <c r="H17" s="22">
        <f t="shared" si="1"/>
        <v>407422201</v>
      </c>
      <c r="I17" s="23">
        <f t="shared" si="0"/>
        <v>0</v>
      </c>
      <c r="J17" s="53">
        <v>0</v>
      </c>
      <c r="K17" s="53">
        <v>0</v>
      </c>
      <c r="L17" s="53">
        <v>0</v>
      </c>
      <c r="M17" s="53">
        <v>0</v>
      </c>
      <c r="N17" s="22">
        <f>N19+N21</f>
        <v>407422201</v>
      </c>
      <c r="O17" s="54">
        <f t="shared" si="2"/>
        <v>1112474635</v>
      </c>
      <c r="P17" s="23"/>
      <c r="Q17" s="18">
        <f>(D17-((D17*S7))/100)</f>
        <v>669410688.8739269</v>
      </c>
      <c r="R17" s="78"/>
      <c r="S17" s="72"/>
      <c r="T17" s="23">
        <v>0</v>
      </c>
      <c r="V17" s="93"/>
      <c r="W17" s="92"/>
      <c r="X17" s="92"/>
    </row>
    <row r="18" spans="1:24" ht="24">
      <c r="A18" s="168"/>
      <c r="B18" s="166"/>
      <c r="C18" s="71" t="s">
        <v>50</v>
      </c>
      <c r="D18" s="22">
        <f t="shared" si="3"/>
        <v>20520555</v>
      </c>
      <c r="E18" s="22">
        <f t="shared" si="3"/>
        <v>0</v>
      </c>
      <c r="F18" s="22">
        <f t="shared" si="3"/>
        <v>20520555</v>
      </c>
      <c r="G18" s="52">
        <v>0</v>
      </c>
      <c r="H18" s="22">
        <f t="shared" si="1"/>
        <v>15946649</v>
      </c>
      <c r="I18" s="23">
        <f t="shared" si="0"/>
        <v>0</v>
      </c>
      <c r="J18" s="53">
        <v>0</v>
      </c>
      <c r="K18" s="53">
        <v>0</v>
      </c>
      <c r="L18" s="53">
        <v>0</v>
      </c>
      <c r="M18" s="53">
        <v>0</v>
      </c>
      <c r="N18" s="22">
        <f>N20+N22</f>
        <v>15946649</v>
      </c>
      <c r="O18" s="54">
        <f t="shared" si="2"/>
        <v>36467204</v>
      </c>
      <c r="P18" s="23"/>
      <c r="Q18" s="18">
        <f>(D18-((D18*S8))/100)</f>
        <v>19459691.29907339</v>
      </c>
      <c r="R18" s="72"/>
      <c r="S18" s="72"/>
      <c r="T18" s="23">
        <v>0</v>
      </c>
      <c r="V18" s="92"/>
      <c r="W18" s="92"/>
      <c r="X18" s="92"/>
    </row>
    <row r="19" spans="1:24" ht="24">
      <c r="A19" s="2" t="s">
        <v>56</v>
      </c>
      <c r="B19" s="3" t="s">
        <v>48</v>
      </c>
      <c r="C19" s="71" t="s">
        <v>49</v>
      </c>
      <c r="D19" s="22">
        <v>515208684</v>
      </c>
      <c r="E19" s="51">
        <v>0</v>
      </c>
      <c r="F19" s="22">
        <v>515208684</v>
      </c>
      <c r="G19" s="52">
        <v>0</v>
      </c>
      <c r="H19" s="22">
        <f t="shared" si="1"/>
        <v>219817096</v>
      </c>
      <c r="I19" s="23">
        <f t="shared" si="0"/>
        <v>0</v>
      </c>
      <c r="J19" s="53">
        <v>0</v>
      </c>
      <c r="K19" s="53">
        <v>0</v>
      </c>
      <c r="L19" s="53">
        <v>0</v>
      </c>
      <c r="M19" s="53">
        <v>0</v>
      </c>
      <c r="N19" s="22">
        <v>219817096</v>
      </c>
      <c r="O19" s="54">
        <f t="shared" si="2"/>
        <v>735025780</v>
      </c>
      <c r="P19" s="23"/>
      <c r="Q19" s="18">
        <f>(D19-((D19*S7))/100)</f>
        <v>489163902.4825625</v>
      </c>
      <c r="R19" s="72"/>
      <c r="S19" s="72"/>
      <c r="T19" s="61">
        <v>0</v>
      </c>
      <c r="V19" s="92"/>
      <c r="W19" s="92"/>
      <c r="X19" s="92"/>
    </row>
    <row r="20" spans="1:25" ht="24">
      <c r="A20" s="2" t="s">
        <v>57</v>
      </c>
      <c r="B20" s="3" t="s">
        <v>48</v>
      </c>
      <c r="C20" s="71" t="s">
        <v>50</v>
      </c>
      <c r="D20" s="22">
        <v>7864305</v>
      </c>
      <c r="E20" s="43">
        <v>0</v>
      </c>
      <c r="F20" s="22">
        <v>7864305</v>
      </c>
      <c r="G20" s="52">
        <v>0</v>
      </c>
      <c r="H20" s="22">
        <f t="shared" si="1"/>
        <v>3305193</v>
      </c>
      <c r="I20" s="23">
        <v>0</v>
      </c>
      <c r="J20" s="53">
        <v>0</v>
      </c>
      <c r="K20" s="53">
        <v>0</v>
      </c>
      <c r="L20" s="53">
        <v>0</v>
      </c>
      <c r="M20" s="53">
        <v>0</v>
      </c>
      <c r="N20" s="112">
        <v>3305193</v>
      </c>
      <c r="O20" s="54">
        <f t="shared" si="2"/>
        <v>11169498</v>
      </c>
      <c r="P20" s="23"/>
      <c r="Q20" s="18">
        <f>(D20-((D20*S8))/100)</f>
        <v>7457739.207431736</v>
      </c>
      <c r="R20" s="72"/>
      <c r="S20" s="72"/>
      <c r="T20" s="23">
        <v>0</v>
      </c>
      <c r="V20" s="92"/>
      <c r="W20" s="92"/>
      <c r="X20" s="92"/>
      <c r="Y20" s="92"/>
    </row>
    <row r="21" spans="1:25" ht="24">
      <c r="A21" s="2" t="s">
        <v>58</v>
      </c>
      <c r="B21" s="3" t="s">
        <v>48</v>
      </c>
      <c r="C21" s="71" t="s">
        <v>49</v>
      </c>
      <c r="D21" s="22">
        <v>189843750</v>
      </c>
      <c r="E21" s="51">
        <v>0</v>
      </c>
      <c r="F21" s="22">
        <v>189843750</v>
      </c>
      <c r="G21" s="52">
        <v>0</v>
      </c>
      <c r="H21" s="22">
        <f t="shared" si="1"/>
        <v>187605105</v>
      </c>
      <c r="I21" s="23">
        <f t="shared" si="0"/>
        <v>0</v>
      </c>
      <c r="J21" s="53">
        <v>0</v>
      </c>
      <c r="K21" s="53">
        <v>0</v>
      </c>
      <c r="L21" s="53">
        <v>0</v>
      </c>
      <c r="M21" s="53">
        <v>0</v>
      </c>
      <c r="N21" s="22">
        <v>187605105</v>
      </c>
      <c r="O21" s="22">
        <f t="shared" si="2"/>
        <v>377448855</v>
      </c>
      <c r="P21" s="23"/>
      <c r="Q21" s="18">
        <f>(D21-((D21*S7))/100)</f>
        <v>180246786.39136443</v>
      </c>
      <c r="R21" s="72"/>
      <c r="S21" s="72"/>
      <c r="T21" s="23">
        <v>0</v>
      </c>
      <c r="V21" s="109"/>
      <c r="W21" s="92"/>
      <c r="X21" s="92"/>
      <c r="Y21" s="92"/>
    </row>
    <row r="22" spans="1:25" ht="35.25" customHeight="1">
      <c r="A22" s="2" t="s">
        <v>59</v>
      </c>
      <c r="B22" s="3" t="s">
        <v>48</v>
      </c>
      <c r="C22" s="71" t="s">
        <v>50</v>
      </c>
      <c r="D22" s="22">
        <v>12656250</v>
      </c>
      <c r="E22" s="51">
        <v>0</v>
      </c>
      <c r="F22" s="22">
        <v>12656250</v>
      </c>
      <c r="G22" s="52">
        <v>0</v>
      </c>
      <c r="H22" s="22">
        <f t="shared" si="1"/>
        <v>12641456</v>
      </c>
      <c r="I22" s="23">
        <f t="shared" si="0"/>
        <v>0</v>
      </c>
      <c r="J22" s="53">
        <v>0</v>
      </c>
      <c r="K22" s="53">
        <v>0</v>
      </c>
      <c r="L22" s="53">
        <v>0</v>
      </c>
      <c r="M22" s="53">
        <v>0</v>
      </c>
      <c r="N22" s="22">
        <v>12641456</v>
      </c>
      <c r="O22" s="22">
        <f t="shared" si="2"/>
        <v>25297706</v>
      </c>
      <c r="P22" s="23"/>
      <c r="Q22" s="18">
        <f>(D22-((D22*S8))/100)</f>
        <v>12001952.091641653</v>
      </c>
      <c r="R22" s="72"/>
      <c r="S22" s="72"/>
      <c r="T22" s="61">
        <v>0</v>
      </c>
      <c r="U22" s="107"/>
      <c r="V22" s="109"/>
      <c r="W22" s="92"/>
      <c r="X22" s="92"/>
      <c r="Y22" s="92"/>
    </row>
    <row r="23" spans="1:25" ht="24">
      <c r="A23" s="170" t="s">
        <v>60</v>
      </c>
      <c r="B23" s="171" t="s">
        <v>48</v>
      </c>
      <c r="C23" s="141" t="s">
        <v>49</v>
      </c>
      <c r="D23" s="142">
        <f>SUM(D25,D27,D29,D31,D43,D49)</f>
        <v>950515910</v>
      </c>
      <c r="E23" s="142">
        <v>0</v>
      </c>
      <c r="F23" s="142">
        <v>950515910</v>
      </c>
      <c r="G23" s="133">
        <v>0</v>
      </c>
      <c r="H23" s="143">
        <f t="shared" si="1"/>
        <v>342392234.7904762</v>
      </c>
      <c r="I23" s="142">
        <v>4629097</v>
      </c>
      <c r="J23" s="142">
        <f>J25+J27+J29+J31+J43</f>
        <v>4629097.294117647</v>
      </c>
      <c r="K23" s="142">
        <v>0</v>
      </c>
      <c r="L23" s="142">
        <v>0</v>
      </c>
      <c r="M23" s="142">
        <v>0</v>
      </c>
      <c r="N23" s="142">
        <f>SUM(N25,N27,N29,N31,N43,N49)</f>
        <v>337763137.7904762</v>
      </c>
      <c r="O23" s="142">
        <v>1292908145</v>
      </c>
      <c r="P23" s="133"/>
      <c r="Q23" s="140">
        <f>(D23-(D23*S23)/100)</f>
        <v>883979797</v>
      </c>
      <c r="R23" s="142">
        <v>66536113</v>
      </c>
      <c r="S23" s="144">
        <f>(R23/D23)*100</f>
        <v>6.999999926355784</v>
      </c>
      <c r="T23" s="145">
        <v>0</v>
      </c>
      <c r="V23" s="119"/>
      <c r="W23" s="92"/>
      <c r="X23" s="92"/>
      <c r="Y23" s="92"/>
    </row>
    <row r="24" spans="1:25" ht="24">
      <c r="A24" s="170"/>
      <c r="B24" s="171"/>
      <c r="C24" s="141" t="s">
        <v>50</v>
      </c>
      <c r="D24" s="142">
        <f>SUM(D26,D28,D30,D32,D44,D50)</f>
        <v>92635650</v>
      </c>
      <c r="E24" s="142">
        <v>0</v>
      </c>
      <c r="F24" s="142">
        <v>92635650</v>
      </c>
      <c r="G24" s="133">
        <v>0</v>
      </c>
      <c r="H24" s="143">
        <f>SUM(I24,N24)</f>
        <v>34176740.159523815</v>
      </c>
      <c r="I24" s="142">
        <v>368349</v>
      </c>
      <c r="J24" s="142">
        <f>J26+J28+J30+J32+J44</f>
        <v>368349</v>
      </c>
      <c r="K24" s="142">
        <v>0</v>
      </c>
      <c r="L24" s="142">
        <v>0</v>
      </c>
      <c r="M24" s="142">
        <v>0</v>
      </c>
      <c r="N24" s="142">
        <f>SUM(N26,N28,N30,N32,N44,N50)</f>
        <v>33808391.159523815</v>
      </c>
      <c r="O24" s="142">
        <v>126812390</v>
      </c>
      <c r="P24" s="133"/>
      <c r="Q24" s="140">
        <f>(D24-(D24*S24)/100)</f>
        <v>86151156</v>
      </c>
      <c r="R24" s="142">
        <v>6484494</v>
      </c>
      <c r="S24" s="144">
        <f>(R24/D24)*100</f>
        <v>6.999998380752983</v>
      </c>
      <c r="T24" s="145">
        <v>0</v>
      </c>
      <c r="V24" s="93"/>
      <c r="W24" s="92"/>
      <c r="X24" s="92"/>
      <c r="Y24" s="92"/>
    </row>
    <row r="25" spans="1:25" ht="24">
      <c r="A25" s="166" t="s">
        <v>61</v>
      </c>
      <c r="B25" s="172" t="s">
        <v>48</v>
      </c>
      <c r="C25" s="71" t="s">
        <v>49</v>
      </c>
      <c r="D25" s="22">
        <v>572878641</v>
      </c>
      <c r="E25" s="22">
        <v>0</v>
      </c>
      <c r="F25" s="22">
        <v>572878641</v>
      </c>
      <c r="G25" s="23">
        <v>0</v>
      </c>
      <c r="H25" s="45">
        <f>SUM(I25+N25)</f>
        <v>245519417.57142857</v>
      </c>
      <c r="I25" s="21">
        <f>SUM(J25:M25)</f>
        <v>0</v>
      </c>
      <c r="J25" s="23">
        <v>0</v>
      </c>
      <c r="K25" s="23">
        <v>0</v>
      </c>
      <c r="L25" s="23">
        <v>0</v>
      </c>
      <c r="M25" s="23">
        <v>0</v>
      </c>
      <c r="N25" s="22">
        <f>(F25*0.3)/0.7</f>
        <v>245519417.57142857</v>
      </c>
      <c r="O25" s="22">
        <f>D25+H25</f>
        <v>818398058.5714285</v>
      </c>
      <c r="P25" s="23"/>
      <c r="Q25" s="18">
        <f>(D25-((D25*S25))/100)+1</f>
        <v>532777137.13</v>
      </c>
      <c r="R25" s="59"/>
      <c r="S25" s="120">
        <v>7</v>
      </c>
      <c r="T25" s="23">
        <v>0</v>
      </c>
      <c r="V25" s="92"/>
      <c r="W25" s="108"/>
      <c r="X25" s="101"/>
      <c r="Y25" s="92"/>
    </row>
    <row r="26" spans="1:25" ht="24">
      <c r="A26" s="166"/>
      <c r="B26" s="172"/>
      <c r="C26" s="55" t="s">
        <v>50</v>
      </c>
      <c r="D26" s="22">
        <v>56803205</v>
      </c>
      <c r="E26" s="22">
        <v>0</v>
      </c>
      <c r="F26" s="22">
        <v>56803205</v>
      </c>
      <c r="G26" s="23">
        <v>0</v>
      </c>
      <c r="H26" s="45">
        <f t="shared" si="1"/>
        <v>24344230.714285716</v>
      </c>
      <c r="I26" s="21">
        <f>SUM(J26:M26)</f>
        <v>0</v>
      </c>
      <c r="J26" s="23">
        <v>0</v>
      </c>
      <c r="K26" s="23">
        <v>0</v>
      </c>
      <c r="L26" s="23">
        <v>0</v>
      </c>
      <c r="M26" s="23">
        <v>0</v>
      </c>
      <c r="N26" s="22">
        <f>(F26*0.3)/0.7</f>
        <v>24344230.714285716</v>
      </c>
      <c r="O26" s="22">
        <f>D26+H26</f>
        <v>81147435.71428572</v>
      </c>
      <c r="P26" s="23"/>
      <c r="Q26" s="18">
        <f>(D26-((D26*S26))/100)+1</f>
        <v>52826981.65</v>
      </c>
      <c r="R26" s="62"/>
      <c r="S26" s="120">
        <v>7</v>
      </c>
      <c r="T26" s="23">
        <v>0</v>
      </c>
      <c r="V26" s="92"/>
      <c r="W26" s="108"/>
      <c r="X26" s="101"/>
      <c r="Y26" s="92"/>
    </row>
    <row r="27" spans="1:25" ht="24">
      <c r="A27" s="166" t="s">
        <v>62</v>
      </c>
      <c r="B27" s="173" t="s">
        <v>48</v>
      </c>
      <c r="C27" s="50" t="s">
        <v>49</v>
      </c>
      <c r="D27" s="22">
        <v>28125000</v>
      </c>
      <c r="E27" s="22">
        <v>0</v>
      </c>
      <c r="F27" s="22">
        <v>28125000</v>
      </c>
      <c r="G27" s="23">
        <v>0</v>
      </c>
      <c r="H27" s="45">
        <f t="shared" si="1"/>
        <v>992647</v>
      </c>
      <c r="I27" s="21">
        <v>0</v>
      </c>
      <c r="J27" s="22">
        <v>0</v>
      </c>
      <c r="K27" s="23">
        <v>0</v>
      </c>
      <c r="L27" s="23">
        <v>0</v>
      </c>
      <c r="M27" s="23">
        <v>0</v>
      </c>
      <c r="N27" s="22">
        <v>992647</v>
      </c>
      <c r="O27" s="22">
        <f>D27+H27</f>
        <v>29117647</v>
      </c>
      <c r="P27" s="23"/>
      <c r="Q27" s="18">
        <f>(D27-((D27*S27))/100)</f>
        <v>26156250</v>
      </c>
      <c r="R27" s="65"/>
      <c r="S27" s="120">
        <v>7</v>
      </c>
      <c r="T27" s="23">
        <v>0</v>
      </c>
      <c r="V27" s="93"/>
      <c r="W27" s="92"/>
      <c r="X27" s="92"/>
      <c r="Y27" s="92"/>
    </row>
    <row r="28" spans="1:25" ht="24">
      <c r="A28" s="166"/>
      <c r="B28" s="173"/>
      <c r="C28" s="74" t="s">
        <v>50</v>
      </c>
      <c r="D28" s="44">
        <v>1875000</v>
      </c>
      <c r="E28" s="22">
        <v>0</v>
      </c>
      <c r="F28" s="44">
        <v>1875000</v>
      </c>
      <c r="G28" s="23">
        <v>0</v>
      </c>
      <c r="H28" s="45">
        <f>SUM(I28+N28)</f>
        <v>93750</v>
      </c>
      <c r="I28" s="21">
        <v>0</v>
      </c>
      <c r="J28" s="22">
        <v>0</v>
      </c>
      <c r="K28" s="75">
        <v>0</v>
      </c>
      <c r="L28" s="75">
        <v>0</v>
      </c>
      <c r="M28" s="75">
        <v>0</v>
      </c>
      <c r="N28" s="22">
        <v>93750</v>
      </c>
      <c r="O28" s="22">
        <f>D28+H28</f>
        <v>1968750</v>
      </c>
      <c r="P28" s="23"/>
      <c r="Q28" s="18">
        <f>(D28-((D28*S27))/100)</f>
        <v>1743750</v>
      </c>
      <c r="R28" s="68"/>
      <c r="S28" s="120">
        <v>7</v>
      </c>
      <c r="T28" s="23">
        <v>0</v>
      </c>
      <c r="V28" s="93"/>
      <c r="W28" s="92"/>
      <c r="X28" s="93"/>
      <c r="Y28" s="92"/>
    </row>
    <row r="29" spans="1:25" ht="24">
      <c r="A29" s="166" t="s">
        <v>63</v>
      </c>
      <c r="B29" s="166" t="s">
        <v>48</v>
      </c>
      <c r="C29" s="71" t="s">
        <v>49</v>
      </c>
      <c r="D29" s="22">
        <v>89062500</v>
      </c>
      <c r="E29" s="22">
        <v>0</v>
      </c>
      <c r="F29" s="22">
        <v>89062500</v>
      </c>
      <c r="G29" s="23">
        <v>0</v>
      </c>
      <c r="H29" s="45">
        <f t="shared" si="1"/>
        <v>29687500</v>
      </c>
      <c r="I29" s="21">
        <f>SUM(J29:M29)</f>
        <v>0</v>
      </c>
      <c r="J29" s="75">
        <v>0</v>
      </c>
      <c r="K29" s="75">
        <v>0</v>
      </c>
      <c r="L29" s="75">
        <v>0</v>
      </c>
      <c r="M29" s="75">
        <v>0</v>
      </c>
      <c r="N29" s="22">
        <f>(F29*0.25)/0.75</f>
        <v>29687500</v>
      </c>
      <c r="O29" s="22">
        <f>N29+F29</f>
        <v>118750000</v>
      </c>
      <c r="P29" s="23"/>
      <c r="Q29" s="18">
        <f>(D29-((D29*S29))/100)</f>
        <v>82828125</v>
      </c>
      <c r="R29" s="68"/>
      <c r="S29" s="120">
        <v>7</v>
      </c>
      <c r="T29" s="23">
        <v>0</v>
      </c>
      <c r="V29" s="93"/>
      <c r="W29" s="92"/>
      <c r="X29" s="93"/>
      <c r="Y29" s="92"/>
    </row>
    <row r="30" spans="1:25" ht="24">
      <c r="A30" s="166"/>
      <c r="B30" s="166"/>
      <c r="C30" s="71" t="s">
        <v>50</v>
      </c>
      <c r="D30" s="22">
        <v>5937500</v>
      </c>
      <c r="E30" s="22">
        <v>0</v>
      </c>
      <c r="F30" s="22">
        <v>5937500</v>
      </c>
      <c r="G30" s="23">
        <v>0</v>
      </c>
      <c r="H30" s="45">
        <f>SUM(I30+N30)</f>
        <v>1979166.6666666667</v>
      </c>
      <c r="I30" s="21">
        <f>SUM(J30:M30)</f>
        <v>0</v>
      </c>
      <c r="J30" s="23">
        <v>0</v>
      </c>
      <c r="K30" s="23">
        <v>0</v>
      </c>
      <c r="L30" s="23">
        <v>0</v>
      </c>
      <c r="M30" s="23">
        <v>0</v>
      </c>
      <c r="N30" s="22">
        <f>(F30*0.25)/0.75</f>
        <v>1979166.6666666667</v>
      </c>
      <c r="O30" s="22">
        <f>N30+F30</f>
        <v>7916666.666666667</v>
      </c>
      <c r="P30" s="23"/>
      <c r="Q30" s="18">
        <f>(D30-((D30*S29))/100)</f>
        <v>5521875</v>
      </c>
      <c r="R30" s="68"/>
      <c r="S30" s="120">
        <v>7</v>
      </c>
      <c r="T30" s="23">
        <v>0</v>
      </c>
      <c r="V30" s="93"/>
      <c r="W30" s="92"/>
      <c r="X30" s="92"/>
      <c r="Y30" s="92"/>
    </row>
    <row r="31" spans="1:25" ht="24">
      <c r="A31" s="166" t="s">
        <v>64</v>
      </c>
      <c r="B31" s="174" t="s">
        <v>48</v>
      </c>
      <c r="C31" s="55" t="s">
        <v>49</v>
      </c>
      <c r="D31" s="103">
        <f aca="true" t="shared" si="4" ref="D31:F32">SUM(D33,D35,D37,D39,D41)</f>
        <v>177709368</v>
      </c>
      <c r="E31" s="103">
        <f t="shared" si="4"/>
        <v>0</v>
      </c>
      <c r="F31" s="103">
        <f t="shared" si="4"/>
        <v>177709368</v>
      </c>
      <c r="G31" s="23">
        <v>0</v>
      </c>
      <c r="H31" s="45">
        <f t="shared" si="1"/>
        <v>58668961.11904762</v>
      </c>
      <c r="I31" s="21">
        <f>I33+I35+I37+I39+I41</f>
        <v>0</v>
      </c>
      <c r="J31" s="22">
        <f>J33+J35+J37+J39+J41</f>
        <v>0</v>
      </c>
      <c r="K31" s="23">
        <v>0</v>
      </c>
      <c r="L31" s="23">
        <v>0</v>
      </c>
      <c r="M31" s="23">
        <v>0</v>
      </c>
      <c r="N31" s="22">
        <f>SUM(N33,N35,N37,N39,N41)</f>
        <v>58668961.11904762</v>
      </c>
      <c r="O31" s="22">
        <f>O33+O35+O37+O39+O41</f>
        <v>236378329.1190476</v>
      </c>
      <c r="P31" s="23"/>
      <c r="Q31" s="18">
        <f>(D31-((D31*S31))/100)</f>
        <v>165269712.24</v>
      </c>
      <c r="R31" s="65"/>
      <c r="S31" s="120">
        <v>7</v>
      </c>
      <c r="T31" s="76">
        <v>0</v>
      </c>
      <c r="V31" s="92"/>
      <c r="W31" s="92"/>
      <c r="X31" s="92"/>
      <c r="Y31" s="92"/>
    </row>
    <row r="32" spans="1:25" ht="24">
      <c r="A32" s="166"/>
      <c r="B32" s="174"/>
      <c r="C32" s="74" t="s">
        <v>50</v>
      </c>
      <c r="D32" s="103">
        <f t="shared" si="4"/>
        <v>22503919</v>
      </c>
      <c r="E32" s="103">
        <f t="shared" si="4"/>
        <v>0</v>
      </c>
      <c r="F32" s="103">
        <f t="shared" si="4"/>
        <v>22503919</v>
      </c>
      <c r="G32" s="23">
        <v>0</v>
      </c>
      <c r="H32" s="45">
        <f t="shared" si="1"/>
        <v>7198269.678571428</v>
      </c>
      <c r="I32" s="21">
        <f aca="true" t="shared" si="5" ref="I32:I52">SUM(J32:M32)</f>
        <v>0</v>
      </c>
      <c r="J32" s="22">
        <f>J34+J36+J38+J40+J42</f>
        <v>0</v>
      </c>
      <c r="K32" s="23">
        <v>0</v>
      </c>
      <c r="L32" s="23">
        <v>0</v>
      </c>
      <c r="M32" s="23">
        <v>0</v>
      </c>
      <c r="N32" s="22">
        <f>SUM(N34,N36,N38,N40,N42)</f>
        <v>7198269.678571428</v>
      </c>
      <c r="O32" s="22">
        <f>O34+O36+O38+O40+O42</f>
        <v>29702188.67857143</v>
      </c>
      <c r="P32" s="23"/>
      <c r="Q32" s="18">
        <f>SUM(Q34,Q36,Q38,Q40,Q42)</f>
        <v>20928644.669999998</v>
      </c>
      <c r="R32" s="62"/>
      <c r="S32" s="120">
        <v>7</v>
      </c>
      <c r="T32" s="76">
        <v>0</v>
      </c>
      <c r="V32" s="93"/>
      <c r="W32" s="93"/>
      <c r="X32" s="92"/>
      <c r="Y32" s="92"/>
    </row>
    <row r="33" spans="1:25" ht="24">
      <c r="A33" s="166" t="s">
        <v>65</v>
      </c>
      <c r="B33" s="166" t="s">
        <v>48</v>
      </c>
      <c r="C33" s="71" t="s">
        <v>49</v>
      </c>
      <c r="D33" s="22">
        <v>55697981</v>
      </c>
      <c r="E33" s="22">
        <v>0</v>
      </c>
      <c r="F33" s="22">
        <v>55697981</v>
      </c>
      <c r="G33" s="23">
        <v>0</v>
      </c>
      <c r="H33" s="45">
        <f>SUM(I33+N33)</f>
        <v>23870563.285714287</v>
      </c>
      <c r="I33" s="21">
        <f t="shared" si="5"/>
        <v>0</v>
      </c>
      <c r="J33" s="23">
        <v>0</v>
      </c>
      <c r="K33" s="23">
        <v>0</v>
      </c>
      <c r="L33" s="23">
        <v>0</v>
      </c>
      <c r="M33" s="23">
        <v>0</v>
      </c>
      <c r="N33" s="22">
        <f>D33*0.3/0.7</f>
        <v>23870563.285714287</v>
      </c>
      <c r="O33" s="22">
        <f>D33+H33</f>
        <v>79568544.28571428</v>
      </c>
      <c r="P33" s="23"/>
      <c r="Q33" s="18">
        <f>(D33-((D33*S33))/100)</f>
        <v>51799122.33</v>
      </c>
      <c r="R33" s="72"/>
      <c r="S33" s="120">
        <v>7</v>
      </c>
      <c r="T33" s="23">
        <v>0</v>
      </c>
      <c r="V33" s="92"/>
      <c r="W33" s="93"/>
      <c r="X33" s="92"/>
      <c r="Y33" s="92"/>
    </row>
    <row r="34" spans="1:25" ht="24">
      <c r="A34" s="166"/>
      <c r="B34" s="166"/>
      <c r="C34" s="71" t="s">
        <v>50</v>
      </c>
      <c r="D34" s="22">
        <v>3113895</v>
      </c>
      <c r="E34" s="22">
        <v>0</v>
      </c>
      <c r="F34" s="22">
        <v>3113895</v>
      </c>
      <c r="G34" s="23">
        <v>0</v>
      </c>
      <c r="H34" s="45">
        <f t="shared" si="1"/>
        <v>1334526.4285714286</v>
      </c>
      <c r="I34" s="21">
        <f t="shared" si="5"/>
        <v>0</v>
      </c>
      <c r="J34" s="23">
        <v>0</v>
      </c>
      <c r="K34" s="23">
        <v>0</v>
      </c>
      <c r="L34" s="23">
        <v>0</v>
      </c>
      <c r="M34" s="23">
        <v>0</v>
      </c>
      <c r="N34" s="22">
        <f>D34*0.3/0.7</f>
        <v>1334526.4285714286</v>
      </c>
      <c r="O34" s="22">
        <f>D34+H34</f>
        <v>4448421.428571429</v>
      </c>
      <c r="P34" s="23"/>
      <c r="Q34" s="18">
        <f>(D34-((D34*S33))/100)</f>
        <v>2895922.35</v>
      </c>
      <c r="R34" s="72"/>
      <c r="S34" s="120">
        <v>7</v>
      </c>
      <c r="T34" s="23">
        <v>0</v>
      </c>
      <c r="V34" s="93"/>
      <c r="W34" s="92"/>
      <c r="X34" s="92"/>
      <c r="Y34" s="92"/>
    </row>
    <row r="35" spans="1:25" ht="24">
      <c r="A35" s="166" t="s">
        <v>66</v>
      </c>
      <c r="B35" s="175" t="s">
        <v>48</v>
      </c>
      <c r="C35" s="71" t="s">
        <v>49</v>
      </c>
      <c r="D35" s="22">
        <v>47328870</v>
      </c>
      <c r="E35" s="22">
        <v>0</v>
      </c>
      <c r="F35" s="22">
        <v>47328870</v>
      </c>
      <c r="G35" s="23">
        <v>0</v>
      </c>
      <c r="H35" s="45">
        <f t="shared" si="1"/>
        <v>15776290</v>
      </c>
      <c r="I35" s="21">
        <f t="shared" si="5"/>
        <v>0</v>
      </c>
      <c r="J35" s="23">
        <v>0</v>
      </c>
      <c r="K35" s="23">
        <v>0</v>
      </c>
      <c r="L35" s="23">
        <v>0</v>
      </c>
      <c r="M35" s="23">
        <v>0</v>
      </c>
      <c r="N35" s="22">
        <f>(F35*0.25)/0.75</f>
        <v>15776290</v>
      </c>
      <c r="O35" s="22">
        <f>SUM(D35+H35)</f>
        <v>63105160</v>
      </c>
      <c r="P35" s="23"/>
      <c r="Q35" s="18">
        <f>(D35-((D35*S35))/100)</f>
        <v>44015849.1</v>
      </c>
      <c r="R35" s="72"/>
      <c r="S35" s="120">
        <v>7</v>
      </c>
      <c r="T35" s="23">
        <v>0</v>
      </c>
      <c r="V35" s="92"/>
      <c r="W35" s="92"/>
      <c r="X35" s="92"/>
      <c r="Y35" s="92"/>
    </row>
    <row r="36" spans="1:25" ht="24">
      <c r="A36" s="166"/>
      <c r="B36" s="175"/>
      <c r="C36" s="77" t="s">
        <v>50</v>
      </c>
      <c r="D36" s="44">
        <v>9306215.2</v>
      </c>
      <c r="E36" s="44">
        <v>0</v>
      </c>
      <c r="F36" s="44">
        <v>9306215.2</v>
      </c>
      <c r="G36" s="75">
        <v>0</v>
      </c>
      <c r="H36" s="45">
        <f>SUM(I36+N36)</f>
        <v>3102071.733333333</v>
      </c>
      <c r="I36" s="21">
        <f t="shared" si="5"/>
        <v>0</v>
      </c>
      <c r="J36" s="44">
        <v>0</v>
      </c>
      <c r="K36" s="75">
        <v>0</v>
      </c>
      <c r="L36" s="75">
        <v>0</v>
      </c>
      <c r="M36" s="75">
        <v>0</v>
      </c>
      <c r="N36" s="22">
        <f>(F36*0.25)/0.75</f>
        <v>3102071.733333333</v>
      </c>
      <c r="O36" s="22">
        <f>SUM(D36+H36)</f>
        <v>12408286.933333332</v>
      </c>
      <c r="P36" s="23"/>
      <c r="Q36" s="18">
        <f>(D36-((D36*S35))/100)</f>
        <v>8654780.136</v>
      </c>
      <c r="R36" s="72"/>
      <c r="S36" s="120">
        <v>7</v>
      </c>
      <c r="T36" s="23">
        <v>0</v>
      </c>
      <c r="V36" s="92"/>
      <c r="W36" s="92"/>
      <c r="X36" s="92"/>
      <c r="Y36" s="92"/>
    </row>
    <row r="37" spans="1:25" ht="24">
      <c r="A37" s="166" t="s">
        <v>67</v>
      </c>
      <c r="B37" s="166" t="s">
        <v>48</v>
      </c>
      <c r="C37" s="71" t="s">
        <v>49</v>
      </c>
      <c r="D37" s="22">
        <v>30015411</v>
      </c>
      <c r="E37" s="22">
        <v>0</v>
      </c>
      <c r="F37" s="22">
        <v>30015411</v>
      </c>
      <c r="G37" s="23">
        <v>0</v>
      </c>
      <c r="H37" s="45">
        <f t="shared" si="1"/>
        <v>7503852.75</v>
      </c>
      <c r="I37" s="21">
        <f t="shared" si="5"/>
        <v>0</v>
      </c>
      <c r="J37" s="22">
        <v>0</v>
      </c>
      <c r="K37" s="23">
        <v>0</v>
      </c>
      <c r="L37" s="23">
        <v>0</v>
      </c>
      <c r="M37" s="23">
        <v>0</v>
      </c>
      <c r="N37" s="22">
        <f>(F37*0.25)</f>
        <v>7503852.75</v>
      </c>
      <c r="O37" s="22">
        <f>D37+H37</f>
        <v>37519263.75</v>
      </c>
      <c r="P37" s="23"/>
      <c r="Q37" s="18">
        <f aca="true" t="shared" si="6" ref="Q37:Q43">(D37-((D37*S37))/100)</f>
        <v>27914332.23</v>
      </c>
      <c r="R37" s="72"/>
      <c r="S37" s="120">
        <v>7</v>
      </c>
      <c r="T37" s="23">
        <v>0</v>
      </c>
      <c r="V37" s="92"/>
      <c r="W37" s="92"/>
      <c r="X37" s="92"/>
      <c r="Y37" s="92"/>
    </row>
    <row r="38" spans="1:20" ht="24">
      <c r="A38" s="166"/>
      <c r="B38" s="166"/>
      <c r="C38" s="71" t="s">
        <v>50</v>
      </c>
      <c r="D38" s="22">
        <v>3234589</v>
      </c>
      <c r="E38" s="22">
        <v>0</v>
      </c>
      <c r="F38" s="22">
        <v>3234589</v>
      </c>
      <c r="G38" s="23">
        <v>0</v>
      </c>
      <c r="H38" s="45">
        <f t="shared" si="1"/>
        <v>808647.25</v>
      </c>
      <c r="I38" s="21">
        <f t="shared" si="5"/>
        <v>0</v>
      </c>
      <c r="J38" s="22">
        <v>0</v>
      </c>
      <c r="K38" s="23">
        <v>0</v>
      </c>
      <c r="L38" s="23">
        <v>0</v>
      </c>
      <c r="M38" s="23">
        <v>0</v>
      </c>
      <c r="N38" s="22">
        <f>(F38*0.25)</f>
        <v>808647.25</v>
      </c>
      <c r="O38" s="22">
        <f>F38+H38</f>
        <v>4043236.25</v>
      </c>
      <c r="P38" s="23"/>
      <c r="Q38" s="18">
        <f t="shared" si="6"/>
        <v>3008167.77</v>
      </c>
      <c r="R38" s="72"/>
      <c r="S38" s="120">
        <v>7</v>
      </c>
      <c r="T38" s="23">
        <v>0</v>
      </c>
    </row>
    <row r="39" spans="1:20" ht="24">
      <c r="A39" s="166" t="s">
        <v>68</v>
      </c>
      <c r="B39" s="166" t="s">
        <v>48</v>
      </c>
      <c r="C39" s="71" t="s">
        <v>49</v>
      </c>
      <c r="D39" s="22">
        <v>4217743</v>
      </c>
      <c r="E39" s="22">
        <v>0</v>
      </c>
      <c r="F39" s="22">
        <v>4217743</v>
      </c>
      <c r="G39" s="23">
        <v>0</v>
      </c>
      <c r="H39" s="45">
        <f>SUM(I39+N39)</f>
        <v>1405914.3333333333</v>
      </c>
      <c r="I39" s="21">
        <f t="shared" si="5"/>
        <v>0</v>
      </c>
      <c r="J39" s="22">
        <v>0</v>
      </c>
      <c r="K39" s="23">
        <v>0</v>
      </c>
      <c r="L39" s="23">
        <v>0</v>
      </c>
      <c r="M39" s="23">
        <v>0</v>
      </c>
      <c r="N39" s="22">
        <f>(F39*0.25)/0.75</f>
        <v>1405914.3333333333</v>
      </c>
      <c r="O39" s="22">
        <f>D39+H39</f>
        <v>5623657.333333333</v>
      </c>
      <c r="P39" s="23"/>
      <c r="Q39" s="18">
        <f t="shared" si="6"/>
        <v>3922500.99</v>
      </c>
      <c r="R39" s="59"/>
      <c r="S39" s="120">
        <v>7</v>
      </c>
      <c r="T39" s="23">
        <v>0</v>
      </c>
    </row>
    <row r="40" spans="1:23" ht="24">
      <c r="A40" s="166"/>
      <c r="B40" s="166"/>
      <c r="C40" s="71" t="s">
        <v>50</v>
      </c>
      <c r="D40" s="22">
        <v>2888631.8</v>
      </c>
      <c r="E40" s="22">
        <v>0</v>
      </c>
      <c r="F40" s="22">
        <v>2888631.8</v>
      </c>
      <c r="G40" s="23">
        <v>0</v>
      </c>
      <c r="H40" s="45">
        <f t="shared" si="1"/>
        <v>962877.2666666666</v>
      </c>
      <c r="I40" s="21">
        <f t="shared" si="5"/>
        <v>0</v>
      </c>
      <c r="J40" s="22">
        <v>0</v>
      </c>
      <c r="K40" s="23">
        <v>0</v>
      </c>
      <c r="L40" s="23">
        <v>0</v>
      </c>
      <c r="M40" s="23">
        <v>0</v>
      </c>
      <c r="N40" s="22">
        <f>(F40*0.25)/0.75</f>
        <v>962877.2666666666</v>
      </c>
      <c r="O40" s="22">
        <f>SUM(D40+H40)</f>
        <v>3851509.0666666664</v>
      </c>
      <c r="P40" s="23"/>
      <c r="Q40" s="18">
        <f t="shared" si="6"/>
        <v>2686427.574</v>
      </c>
      <c r="R40" s="62"/>
      <c r="S40" s="120">
        <v>7</v>
      </c>
      <c r="T40" s="23">
        <v>0</v>
      </c>
      <c r="V40" s="92"/>
      <c r="W40" s="92"/>
    </row>
    <row r="41" spans="1:23" ht="24">
      <c r="A41" s="176" t="s">
        <v>69</v>
      </c>
      <c r="B41" s="176" t="s">
        <v>48</v>
      </c>
      <c r="C41" s="94" t="s">
        <v>49</v>
      </c>
      <c r="D41" s="113">
        <v>40449363</v>
      </c>
      <c r="E41" s="22">
        <v>0</v>
      </c>
      <c r="F41" s="113">
        <v>40449363</v>
      </c>
      <c r="G41" s="23">
        <v>0</v>
      </c>
      <c r="H41" s="45">
        <f t="shared" si="1"/>
        <v>10112340.75</v>
      </c>
      <c r="I41" s="21">
        <v>0</v>
      </c>
      <c r="J41" s="22">
        <v>0</v>
      </c>
      <c r="K41" s="23">
        <v>0</v>
      </c>
      <c r="L41" s="23">
        <v>0</v>
      </c>
      <c r="M41" s="23">
        <v>0</v>
      </c>
      <c r="N41" s="22">
        <f>(F41*0.25)</f>
        <v>10112340.75</v>
      </c>
      <c r="O41" s="22">
        <f>D41+H41</f>
        <v>50561703.75</v>
      </c>
      <c r="P41" s="23"/>
      <c r="Q41" s="18">
        <f t="shared" si="6"/>
        <v>37617907.59</v>
      </c>
      <c r="R41" s="65"/>
      <c r="S41" s="120">
        <v>7</v>
      </c>
      <c r="T41" s="23">
        <v>0</v>
      </c>
      <c r="V41" s="92"/>
      <c r="W41" s="92"/>
    </row>
    <row r="42" spans="1:23" ht="24">
      <c r="A42" s="176"/>
      <c r="B42" s="176"/>
      <c r="C42" s="94" t="s">
        <v>50</v>
      </c>
      <c r="D42" s="58">
        <v>3960588</v>
      </c>
      <c r="E42" s="22">
        <v>0</v>
      </c>
      <c r="F42" s="58">
        <v>3960588</v>
      </c>
      <c r="G42" s="23">
        <v>0</v>
      </c>
      <c r="H42" s="45">
        <f>SUM(I42+N42)</f>
        <v>990147</v>
      </c>
      <c r="I42" s="21">
        <v>0</v>
      </c>
      <c r="J42" s="22">
        <v>0</v>
      </c>
      <c r="K42" s="23">
        <v>0</v>
      </c>
      <c r="L42" s="23">
        <v>0</v>
      </c>
      <c r="M42" s="23">
        <v>0</v>
      </c>
      <c r="N42" s="22">
        <f>(F42*0.25)</f>
        <v>990147</v>
      </c>
      <c r="O42" s="22">
        <f>D42+H42</f>
        <v>4950735</v>
      </c>
      <c r="P42" s="23"/>
      <c r="Q42" s="18">
        <f t="shared" si="6"/>
        <v>3683346.84</v>
      </c>
      <c r="R42" s="68"/>
      <c r="S42" s="120">
        <v>7</v>
      </c>
      <c r="T42" s="23">
        <v>0</v>
      </c>
      <c r="V42" s="92"/>
      <c r="W42" s="92"/>
    </row>
    <row r="43" spans="1:37" ht="24">
      <c r="A43" s="166" t="s">
        <v>70</v>
      </c>
      <c r="B43" s="166" t="s">
        <v>48</v>
      </c>
      <c r="C43" s="71" t="s">
        <v>49</v>
      </c>
      <c r="D43" s="22">
        <v>53794280</v>
      </c>
      <c r="E43" s="22">
        <v>0</v>
      </c>
      <c r="F43" s="22">
        <v>53794280</v>
      </c>
      <c r="G43" s="23">
        <v>0</v>
      </c>
      <c r="H43" s="45">
        <f t="shared" si="1"/>
        <v>4629097</v>
      </c>
      <c r="I43" s="21">
        <v>4629097</v>
      </c>
      <c r="J43" s="22">
        <f>J45+J47</f>
        <v>4629097.294117647</v>
      </c>
      <c r="K43" s="23">
        <v>0</v>
      </c>
      <c r="L43" s="23">
        <v>0</v>
      </c>
      <c r="M43" s="23">
        <v>0</v>
      </c>
      <c r="N43" s="22">
        <v>0</v>
      </c>
      <c r="O43" s="22">
        <f>O45+O47</f>
        <v>58423377</v>
      </c>
      <c r="P43" s="23"/>
      <c r="Q43" s="18">
        <f t="shared" si="6"/>
        <v>50028680.4</v>
      </c>
      <c r="R43" s="68"/>
      <c r="S43" s="120">
        <v>7</v>
      </c>
      <c r="T43" s="76">
        <v>0</v>
      </c>
      <c r="V43" s="92"/>
      <c r="W43" s="92"/>
      <c r="AK43" s="105"/>
    </row>
    <row r="44" spans="1:37" ht="24">
      <c r="A44" s="166"/>
      <c r="B44" s="166"/>
      <c r="C44" s="71" t="s">
        <v>50</v>
      </c>
      <c r="D44" s="22">
        <v>3586285</v>
      </c>
      <c r="E44" s="22">
        <v>0</v>
      </c>
      <c r="F44" s="22">
        <v>3586285</v>
      </c>
      <c r="G44" s="23">
        <v>0</v>
      </c>
      <c r="H44" s="45">
        <f t="shared" si="1"/>
        <v>368349</v>
      </c>
      <c r="I44" s="21">
        <v>368349</v>
      </c>
      <c r="J44" s="22">
        <f>J46+J48</f>
        <v>368349</v>
      </c>
      <c r="K44" s="23">
        <v>0</v>
      </c>
      <c r="L44" s="23">
        <v>0</v>
      </c>
      <c r="M44" s="23">
        <v>0</v>
      </c>
      <c r="N44" s="22">
        <v>0</v>
      </c>
      <c r="O44" s="22">
        <f>O46+O48</f>
        <v>3954634</v>
      </c>
      <c r="P44" s="23"/>
      <c r="Q44" s="18">
        <f>(D44-((D44*S43))/100)</f>
        <v>3335245.05</v>
      </c>
      <c r="R44" s="68"/>
      <c r="S44" s="120">
        <v>7</v>
      </c>
      <c r="T44" s="76">
        <v>0</v>
      </c>
      <c r="V44" s="92"/>
      <c r="W44" s="92"/>
      <c r="AK44" s="105"/>
    </row>
    <row r="45" spans="1:37" ht="24">
      <c r="A45" s="166" t="s">
        <v>71</v>
      </c>
      <c r="B45" s="166" t="s">
        <v>48</v>
      </c>
      <c r="C45" s="77" t="s">
        <v>49</v>
      </c>
      <c r="D45" s="44">
        <v>41606780</v>
      </c>
      <c r="E45" s="44">
        <v>0</v>
      </c>
      <c r="F45" s="44">
        <v>41606780</v>
      </c>
      <c r="G45" s="75">
        <v>0</v>
      </c>
      <c r="H45" s="45">
        <f>SUM(I45+N45)</f>
        <v>2478362</v>
      </c>
      <c r="I45" s="21">
        <v>2478362</v>
      </c>
      <c r="J45" s="44">
        <v>2478362</v>
      </c>
      <c r="K45" s="75">
        <v>0</v>
      </c>
      <c r="L45" s="75">
        <v>0</v>
      </c>
      <c r="M45" s="75">
        <v>0</v>
      </c>
      <c r="N45" s="44">
        <v>0</v>
      </c>
      <c r="O45" s="44">
        <f>F45+H45</f>
        <v>44085142</v>
      </c>
      <c r="P45" s="75"/>
      <c r="Q45" s="18">
        <f>(D45-((D45*S45))/100)</f>
        <v>38694305.4</v>
      </c>
      <c r="R45" s="65"/>
      <c r="S45" s="120">
        <v>7</v>
      </c>
      <c r="T45" s="23">
        <v>0</v>
      </c>
      <c r="V45" s="92"/>
      <c r="W45" s="92"/>
      <c r="AK45" s="105"/>
    </row>
    <row r="46" spans="1:37" ht="24">
      <c r="A46" s="166"/>
      <c r="B46" s="166"/>
      <c r="C46" s="71" t="s">
        <v>50</v>
      </c>
      <c r="D46" s="22">
        <v>2773785</v>
      </c>
      <c r="E46" s="22">
        <v>0</v>
      </c>
      <c r="F46" s="22">
        <v>2773785</v>
      </c>
      <c r="G46" s="23">
        <v>0</v>
      </c>
      <c r="H46" s="45">
        <f t="shared" si="1"/>
        <v>165224</v>
      </c>
      <c r="I46" s="21">
        <v>165224</v>
      </c>
      <c r="J46" s="22">
        <v>165224</v>
      </c>
      <c r="K46" s="23">
        <v>0</v>
      </c>
      <c r="L46" s="23">
        <v>0</v>
      </c>
      <c r="M46" s="23">
        <v>0</v>
      </c>
      <c r="N46" s="22">
        <v>0</v>
      </c>
      <c r="O46" s="22">
        <f>F46+H46</f>
        <v>2939009</v>
      </c>
      <c r="P46" s="23"/>
      <c r="Q46" s="18">
        <f>(D46-((D46*S46))/100)</f>
        <v>2579620.05</v>
      </c>
      <c r="R46" s="72"/>
      <c r="S46" s="120">
        <v>7</v>
      </c>
      <c r="T46" s="23">
        <v>0</v>
      </c>
      <c r="V46" s="92"/>
      <c r="W46" s="92"/>
      <c r="AK46" s="105"/>
    </row>
    <row r="47" spans="1:37" ht="36" customHeight="1">
      <c r="A47" s="166" t="s">
        <v>72</v>
      </c>
      <c r="B47" s="166" t="s">
        <v>48</v>
      </c>
      <c r="C47" s="71" t="s">
        <v>49</v>
      </c>
      <c r="D47" s="22">
        <v>12187500</v>
      </c>
      <c r="E47" s="22">
        <v>0</v>
      </c>
      <c r="F47" s="22">
        <v>12187500</v>
      </c>
      <c r="G47" s="23">
        <v>0</v>
      </c>
      <c r="H47" s="45">
        <f t="shared" si="1"/>
        <v>2150735</v>
      </c>
      <c r="I47" s="21">
        <v>2150735</v>
      </c>
      <c r="J47" s="22">
        <f>(D47*0.15)/0.85</f>
        <v>2150735.294117647</v>
      </c>
      <c r="K47" s="23">
        <v>0</v>
      </c>
      <c r="L47" s="23">
        <v>0</v>
      </c>
      <c r="M47" s="23">
        <v>0</v>
      </c>
      <c r="N47" s="22">
        <v>0</v>
      </c>
      <c r="O47" s="22">
        <f>H47+D47</f>
        <v>14338235</v>
      </c>
      <c r="P47" s="23"/>
      <c r="Q47" s="18">
        <f>(D47-((D47*S47))/100)</f>
        <v>11334375</v>
      </c>
      <c r="R47" s="72"/>
      <c r="S47" s="120">
        <v>7</v>
      </c>
      <c r="T47" s="23">
        <v>0</v>
      </c>
      <c r="V47" s="93"/>
      <c r="W47" s="92"/>
      <c r="AK47" s="105"/>
    </row>
    <row r="48" spans="1:37" ht="30" customHeight="1">
      <c r="A48" s="166"/>
      <c r="B48" s="166"/>
      <c r="C48" s="71" t="s">
        <v>50</v>
      </c>
      <c r="D48" s="22">
        <v>812500</v>
      </c>
      <c r="E48" s="22">
        <v>0</v>
      </c>
      <c r="F48" s="22">
        <v>812500</v>
      </c>
      <c r="G48" s="23">
        <v>0</v>
      </c>
      <c r="H48" s="45">
        <f>SUM(I48+N48)</f>
        <v>203125</v>
      </c>
      <c r="I48" s="21">
        <v>203125</v>
      </c>
      <c r="J48" s="22">
        <f>(D48*0.2)/0.8</f>
        <v>203125</v>
      </c>
      <c r="K48" s="23">
        <v>0</v>
      </c>
      <c r="L48" s="23">
        <v>0</v>
      </c>
      <c r="M48" s="23">
        <v>0</v>
      </c>
      <c r="N48" s="22">
        <v>0</v>
      </c>
      <c r="O48" s="22">
        <f>H48+D48</f>
        <v>1015625</v>
      </c>
      <c r="P48" s="23"/>
      <c r="Q48" s="46">
        <f>(D48-((D48*S47))/100)</f>
        <v>755625</v>
      </c>
      <c r="R48" s="72"/>
      <c r="S48" s="120">
        <v>7</v>
      </c>
      <c r="T48" s="23">
        <v>0</v>
      </c>
      <c r="V48" s="92"/>
      <c r="W48" s="92"/>
      <c r="AK48" s="105"/>
    </row>
    <row r="49" spans="1:37" ht="33" customHeight="1">
      <c r="A49" s="182" t="s">
        <v>104</v>
      </c>
      <c r="B49" s="182" t="s">
        <v>48</v>
      </c>
      <c r="C49" s="102" t="s">
        <v>49</v>
      </c>
      <c r="D49" s="22">
        <v>28946121</v>
      </c>
      <c r="E49" s="22">
        <v>0</v>
      </c>
      <c r="F49" s="22">
        <v>28946121</v>
      </c>
      <c r="G49" s="23">
        <v>0</v>
      </c>
      <c r="H49" s="45">
        <f>SUM(I49+N49)</f>
        <v>2894612.1</v>
      </c>
      <c r="I49" s="21">
        <f t="shared" si="5"/>
        <v>0</v>
      </c>
      <c r="J49" s="22">
        <v>0</v>
      </c>
      <c r="K49" s="23">
        <v>0</v>
      </c>
      <c r="L49" s="23">
        <v>0</v>
      </c>
      <c r="M49" s="23">
        <v>0</v>
      </c>
      <c r="N49" s="22">
        <f>(F49*0.1)</f>
        <v>2894612.1</v>
      </c>
      <c r="O49" s="22">
        <f>H49+D49</f>
        <v>31840733.1</v>
      </c>
      <c r="P49" s="23"/>
      <c r="Q49" s="46">
        <f aca="true" t="shared" si="7" ref="Q49:Q84">(D49-((D49*S49))/100)</f>
        <v>26919892.53</v>
      </c>
      <c r="R49" s="72"/>
      <c r="S49" s="120">
        <v>7</v>
      </c>
      <c r="T49" s="75">
        <v>0</v>
      </c>
      <c r="V49" s="92"/>
      <c r="W49" s="92"/>
      <c r="AK49" s="105"/>
    </row>
    <row r="50" spans="1:37" ht="30" customHeight="1">
      <c r="A50" s="183"/>
      <c r="B50" s="183"/>
      <c r="C50" s="102" t="s">
        <v>50</v>
      </c>
      <c r="D50" s="22">
        <v>1929741</v>
      </c>
      <c r="E50" s="22">
        <v>0</v>
      </c>
      <c r="F50" s="22">
        <v>1929741</v>
      </c>
      <c r="G50" s="23">
        <v>0</v>
      </c>
      <c r="H50" s="45">
        <f>SUM(I50+N50)</f>
        <v>192974.1</v>
      </c>
      <c r="I50" s="21">
        <f t="shared" si="5"/>
        <v>0</v>
      </c>
      <c r="J50" s="22">
        <v>0</v>
      </c>
      <c r="K50" s="23">
        <v>0</v>
      </c>
      <c r="L50" s="23">
        <v>0</v>
      </c>
      <c r="M50" s="23">
        <v>0</v>
      </c>
      <c r="N50" s="22">
        <f>(F50*0.1)</f>
        <v>192974.1</v>
      </c>
      <c r="O50" s="22">
        <f>H50+D50</f>
        <v>2122715.1</v>
      </c>
      <c r="P50" s="23"/>
      <c r="Q50" s="46">
        <f t="shared" si="7"/>
        <v>1794659.13</v>
      </c>
      <c r="R50" s="72"/>
      <c r="S50" s="120">
        <v>7</v>
      </c>
      <c r="T50" s="75">
        <v>0</v>
      </c>
      <c r="V50" s="92"/>
      <c r="W50" s="92"/>
      <c r="AK50" s="105"/>
    </row>
    <row r="51" spans="1:37" ht="24">
      <c r="A51" s="177" t="s">
        <v>73</v>
      </c>
      <c r="B51" s="171" t="s">
        <v>74</v>
      </c>
      <c r="C51" s="141" t="s">
        <v>49</v>
      </c>
      <c r="D51" s="142">
        <f>SUM(D55)</f>
        <v>318720044</v>
      </c>
      <c r="E51" s="142">
        <v>0</v>
      </c>
      <c r="F51" s="142">
        <f>SUM(F55)</f>
        <v>318720044</v>
      </c>
      <c r="G51" s="133">
        <v>0</v>
      </c>
      <c r="H51" s="143">
        <f t="shared" si="1"/>
        <v>118147287.16666667</v>
      </c>
      <c r="I51" s="142">
        <f t="shared" si="5"/>
        <v>0</v>
      </c>
      <c r="J51" s="133">
        <v>0</v>
      </c>
      <c r="K51" s="133">
        <v>0</v>
      </c>
      <c r="L51" s="133">
        <v>0</v>
      </c>
      <c r="M51" s="133">
        <v>0</v>
      </c>
      <c r="N51" s="131">
        <f>SUM(N55)</f>
        <v>118147287.16666667</v>
      </c>
      <c r="O51" s="142">
        <v>436867331</v>
      </c>
      <c r="P51" s="133"/>
      <c r="Q51" s="146">
        <f t="shared" si="7"/>
        <v>296555056.37785286</v>
      </c>
      <c r="R51" s="147">
        <f>SUM(D51-Q51)</f>
        <v>22164987.622147143</v>
      </c>
      <c r="S51" s="144">
        <v>6.9543751764</v>
      </c>
      <c r="T51" s="148">
        <v>0</v>
      </c>
      <c r="V51" s="93"/>
      <c r="W51" s="93"/>
      <c r="X51" s="106"/>
      <c r="AK51" s="105"/>
    </row>
    <row r="52" spans="1:37" ht="24">
      <c r="A52" s="177"/>
      <c r="B52" s="171"/>
      <c r="C52" s="141" t="s">
        <v>50</v>
      </c>
      <c r="D52" s="142">
        <f>SUM(D56)</f>
        <v>22320115</v>
      </c>
      <c r="E52" s="142">
        <v>0</v>
      </c>
      <c r="F52" s="142">
        <f>SUM(F56)</f>
        <v>22320115</v>
      </c>
      <c r="G52" s="133">
        <v>0</v>
      </c>
      <c r="H52" s="143">
        <f t="shared" si="1"/>
        <v>8948597.75</v>
      </c>
      <c r="I52" s="142">
        <f t="shared" si="5"/>
        <v>0</v>
      </c>
      <c r="J52" s="133">
        <v>0</v>
      </c>
      <c r="K52" s="133">
        <v>0</v>
      </c>
      <c r="L52" s="133">
        <v>0</v>
      </c>
      <c r="M52" s="133">
        <v>0</v>
      </c>
      <c r="N52" s="131">
        <f>SUM(N56)</f>
        <v>8948597.75</v>
      </c>
      <c r="O52" s="142">
        <v>31268713</v>
      </c>
      <c r="P52" s="133"/>
      <c r="Q52" s="146">
        <f t="shared" si="7"/>
        <v>20765686.2282203</v>
      </c>
      <c r="R52" s="147">
        <f>SUM(D52-Q52)</f>
        <v>1554428.771779701</v>
      </c>
      <c r="S52" s="144">
        <v>6.9642507298</v>
      </c>
      <c r="T52" s="148">
        <v>0</v>
      </c>
      <c r="V52" s="93"/>
      <c r="W52" s="93"/>
      <c r="X52" s="106"/>
      <c r="AK52" s="105"/>
    </row>
    <row r="53" spans="1:37" ht="24">
      <c r="A53" s="177"/>
      <c r="B53" s="178" t="s">
        <v>75</v>
      </c>
      <c r="C53" s="141" t="s">
        <v>49</v>
      </c>
      <c r="D53" s="142">
        <f>SUM(D67,D75)</f>
        <v>1821562357</v>
      </c>
      <c r="E53" s="142">
        <v>0</v>
      </c>
      <c r="F53" s="142">
        <f>SUM(F67,F75)</f>
        <v>1821562357</v>
      </c>
      <c r="G53" s="133">
        <v>0</v>
      </c>
      <c r="H53" s="143">
        <f>SUM(I53+N53)</f>
        <v>710092683.1214285</v>
      </c>
      <c r="I53" s="142">
        <v>6362206</v>
      </c>
      <c r="J53" s="142">
        <f>SUM(J75)</f>
        <v>6362206.294117647</v>
      </c>
      <c r="K53" s="142">
        <v>0</v>
      </c>
      <c r="L53" s="142">
        <v>0</v>
      </c>
      <c r="M53" s="142">
        <v>0</v>
      </c>
      <c r="N53" s="142">
        <f>SUM(N67,N75)</f>
        <v>703730477.1214285</v>
      </c>
      <c r="O53" s="142">
        <v>2531655040</v>
      </c>
      <c r="P53" s="133"/>
      <c r="Q53" s="146">
        <f t="shared" si="7"/>
        <v>1694884076.6221452</v>
      </c>
      <c r="R53" s="147">
        <f>SUM(D53-Q53)</f>
        <v>126678280.37785482</v>
      </c>
      <c r="S53" s="144">
        <v>6.9543751764</v>
      </c>
      <c r="T53" s="148">
        <v>0</v>
      </c>
      <c r="V53" s="92"/>
      <c r="W53" s="93"/>
      <c r="AK53" s="105"/>
    </row>
    <row r="54" spans="1:37" ht="24">
      <c r="A54" s="177"/>
      <c r="B54" s="178"/>
      <c r="C54" s="141" t="s">
        <v>50</v>
      </c>
      <c r="D54" s="142">
        <f>SUM(D68,D76)</f>
        <v>183275886</v>
      </c>
      <c r="E54" s="142">
        <v>0</v>
      </c>
      <c r="F54" s="142">
        <f>SUM(F68,F76)</f>
        <v>183275886</v>
      </c>
      <c r="G54" s="133">
        <v>0</v>
      </c>
      <c r="H54" s="143">
        <f>SUM(I54+N54)</f>
        <v>72967864.34285714</v>
      </c>
      <c r="I54" s="142">
        <v>798152</v>
      </c>
      <c r="J54" s="142">
        <f>SUM(J76)</f>
        <v>798152</v>
      </c>
      <c r="K54" s="142">
        <v>0</v>
      </c>
      <c r="L54" s="142">
        <v>0</v>
      </c>
      <c r="M54" s="142">
        <v>0</v>
      </c>
      <c r="N54" s="142">
        <f>SUM(N68,N76)</f>
        <v>72169712.34285714</v>
      </c>
      <c r="O54" s="142">
        <v>256243750</v>
      </c>
      <c r="P54" s="133"/>
      <c r="Q54" s="146">
        <f>SUM(Q68,Q76)</f>
        <v>170512094.1403228</v>
      </c>
      <c r="R54" s="147">
        <f>SUM(D54-Q54)</f>
        <v>12763791.859677196</v>
      </c>
      <c r="S54" s="144">
        <v>6.9642507298</v>
      </c>
      <c r="T54" s="148">
        <v>0</v>
      </c>
      <c r="V54" s="93"/>
      <c r="W54" s="93"/>
      <c r="X54" s="106"/>
      <c r="AK54" s="105"/>
    </row>
    <row r="55" spans="1:37" ht="24">
      <c r="A55" s="166" t="s">
        <v>76</v>
      </c>
      <c r="B55" s="166" t="s">
        <v>74</v>
      </c>
      <c r="C55" s="71" t="s">
        <v>49</v>
      </c>
      <c r="D55" s="22">
        <f>SUM(D57,D59,D61,D63,D65,)</f>
        <v>318720044</v>
      </c>
      <c r="E55" s="22">
        <v>0</v>
      </c>
      <c r="F55" s="22">
        <f aca="true" t="shared" si="8" ref="F55:F65">D55</f>
        <v>318720044</v>
      </c>
      <c r="G55" s="23">
        <v>0</v>
      </c>
      <c r="H55" s="45">
        <f t="shared" si="1"/>
        <v>118147287.16666667</v>
      </c>
      <c r="I55" s="21"/>
      <c r="J55" s="22">
        <f>J57+J59+J61</f>
        <v>0</v>
      </c>
      <c r="K55" s="23">
        <v>0</v>
      </c>
      <c r="L55" s="23">
        <v>0</v>
      </c>
      <c r="M55" s="23">
        <v>0</v>
      </c>
      <c r="N55" s="22">
        <f>N57+N59+N61+N63+N65</f>
        <v>118147287.16666667</v>
      </c>
      <c r="O55" s="22">
        <f>O57+O59+O61+O63+O65</f>
        <v>436867331.1666667</v>
      </c>
      <c r="P55" s="49"/>
      <c r="Q55" s="18">
        <f t="shared" si="7"/>
        <v>296555056.37785286</v>
      </c>
      <c r="R55" s="78"/>
      <c r="S55" s="121">
        <v>6.9543751764</v>
      </c>
      <c r="T55" s="56">
        <v>0</v>
      </c>
      <c r="V55" s="93"/>
      <c r="W55" s="93"/>
      <c r="X55" s="106"/>
      <c r="AK55" s="105"/>
    </row>
    <row r="56" spans="1:37" ht="24">
      <c r="A56" s="166"/>
      <c r="B56" s="166"/>
      <c r="C56" s="71" t="s">
        <v>50</v>
      </c>
      <c r="D56" s="22">
        <f>SUM(D58,D60,D62,D64,D66,)</f>
        <v>22320115</v>
      </c>
      <c r="E56" s="22">
        <v>0</v>
      </c>
      <c r="F56" s="22">
        <f t="shared" si="8"/>
        <v>22320115</v>
      </c>
      <c r="G56" s="23">
        <v>0</v>
      </c>
      <c r="H56" s="45">
        <f>SUM(I56+N56)</f>
        <v>8948597.75</v>
      </c>
      <c r="I56" s="21"/>
      <c r="J56" s="22">
        <f>J58+J60+J62</f>
        <v>0</v>
      </c>
      <c r="K56" s="23">
        <v>0</v>
      </c>
      <c r="L56" s="23">
        <v>0</v>
      </c>
      <c r="M56" s="23">
        <v>0</v>
      </c>
      <c r="N56" s="22">
        <f>N58+N60+N62+N64+N66</f>
        <v>8948597.75</v>
      </c>
      <c r="O56" s="22">
        <f>O58+O60+O62+O64+O66</f>
        <v>31268712.75</v>
      </c>
      <c r="P56" s="49"/>
      <c r="Q56" s="18">
        <f t="shared" si="7"/>
        <v>20765686.2282203</v>
      </c>
      <c r="R56" s="78"/>
      <c r="S56" s="121">
        <v>6.9642507298</v>
      </c>
      <c r="T56" s="56">
        <v>0</v>
      </c>
      <c r="V56" s="92"/>
      <c r="W56" s="92"/>
      <c r="AK56" s="105"/>
    </row>
    <row r="57" spans="1:23" ht="24">
      <c r="A57" s="166" t="s">
        <v>77</v>
      </c>
      <c r="B57" s="166" t="s">
        <v>74</v>
      </c>
      <c r="C57" s="71" t="s">
        <v>49</v>
      </c>
      <c r="D57" s="22">
        <v>169351875</v>
      </c>
      <c r="E57" s="22">
        <v>0</v>
      </c>
      <c r="F57" s="22">
        <f t="shared" si="8"/>
        <v>169351875</v>
      </c>
      <c r="G57" s="23">
        <v>0</v>
      </c>
      <c r="H57" s="45">
        <f t="shared" si="1"/>
        <v>29885625</v>
      </c>
      <c r="I57" s="21">
        <f>SUM(J57:M57)</f>
        <v>0</v>
      </c>
      <c r="J57" s="22">
        <v>0</v>
      </c>
      <c r="K57" s="23">
        <v>0</v>
      </c>
      <c r="L57" s="23">
        <v>0</v>
      </c>
      <c r="M57" s="23">
        <v>0</v>
      </c>
      <c r="N57" s="22">
        <f>(D57*0.15)/0.85</f>
        <v>29885625</v>
      </c>
      <c r="O57" s="22">
        <f>H57+F57</f>
        <v>199237500</v>
      </c>
      <c r="P57" s="49"/>
      <c r="Q57" s="18">
        <f t="shared" si="7"/>
        <v>157574510.24423203</v>
      </c>
      <c r="R57" s="78"/>
      <c r="S57" s="121">
        <v>6.9543751764</v>
      </c>
      <c r="T57" s="56">
        <v>0</v>
      </c>
      <c r="V57" s="93"/>
      <c r="W57" s="92"/>
    </row>
    <row r="58" spans="1:23" ht="24">
      <c r="A58" s="166"/>
      <c r="B58" s="166"/>
      <c r="C58" s="71" t="s">
        <v>50</v>
      </c>
      <c r="D58" s="22">
        <v>11290125</v>
      </c>
      <c r="E58" s="22">
        <v>0</v>
      </c>
      <c r="F58" s="22">
        <f t="shared" si="8"/>
        <v>11290125</v>
      </c>
      <c r="G58" s="23">
        <v>0</v>
      </c>
      <c r="H58" s="45">
        <f t="shared" si="1"/>
        <v>1992375</v>
      </c>
      <c r="I58" s="21"/>
      <c r="J58" s="22">
        <v>0</v>
      </c>
      <c r="K58" s="23">
        <v>0</v>
      </c>
      <c r="L58" s="23">
        <v>0</v>
      </c>
      <c r="M58" s="23">
        <v>0</v>
      </c>
      <c r="N58" s="22">
        <f>(D58*0.15)/0.85</f>
        <v>1992375</v>
      </c>
      <c r="O58" s="22">
        <f>H58+F58</f>
        <v>13282500</v>
      </c>
      <c r="P58" s="49"/>
      <c r="Q58" s="18">
        <f t="shared" si="7"/>
        <v>10503852.387292167</v>
      </c>
      <c r="R58" s="78"/>
      <c r="S58" s="121">
        <v>6.9642507298</v>
      </c>
      <c r="T58" s="56">
        <v>0</v>
      </c>
      <c r="V58" s="109"/>
      <c r="W58" s="92"/>
    </row>
    <row r="59" spans="1:23" ht="24">
      <c r="A59" s="168" t="s">
        <v>78</v>
      </c>
      <c r="B59" s="168" t="s">
        <v>74</v>
      </c>
      <c r="C59" s="73" t="s">
        <v>49</v>
      </c>
      <c r="D59" s="21">
        <v>54560603</v>
      </c>
      <c r="E59" s="21">
        <v>0</v>
      </c>
      <c r="F59" s="21">
        <f t="shared" si="8"/>
        <v>54560603</v>
      </c>
      <c r="G59" s="53">
        <v>0</v>
      </c>
      <c r="H59" s="45">
        <f>SUM(I59+N59)</f>
        <v>54560603</v>
      </c>
      <c r="I59" s="21">
        <f aca="true" t="shared" si="9" ref="I59:I66">SUM(J59:M59)</f>
        <v>0</v>
      </c>
      <c r="J59" s="22">
        <v>0</v>
      </c>
      <c r="K59" s="23">
        <v>0</v>
      </c>
      <c r="L59" s="23">
        <v>0</v>
      </c>
      <c r="M59" s="23">
        <v>0</v>
      </c>
      <c r="N59" s="22">
        <f>(D59*0.5)/0.5</f>
        <v>54560603</v>
      </c>
      <c r="O59" s="22">
        <f>F59+H59</f>
        <v>109121206</v>
      </c>
      <c r="P59" s="49"/>
      <c r="Q59" s="18">
        <f t="shared" si="7"/>
        <v>50766253.96887384</v>
      </c>
      <c r="R59" s="78"/>
      <c r="S59" s="121">
        <v>6.9543751764</v>
      </c>
      <c r="T59" s="56">
        <v>0</v>
      </c>
      <c r="V59" s="93"/>
      <c r="W59" s="92"/>
    </row>
    <row r="60" spans="1:23" ht="24">
      <c r="A60" s="168"/>
      <c r="B60" s="168"/>
      <c r="C60" s="73" t="s">
        <v>50</v>
      </c>
      <c r="D60" s="21">
        <v>3637374</v>
      </c>
      <c r="E60" s="21">
        <v>0</v>
      </c>
      <c r="F60" s="21">
        <f t="shared" si="8"/>
        <v>3637374</v>
      </c>
      <c r="G60" s="53">
        <v>0</v>
      </c>
      <c r="H60" s="45">
        <f t="shared" si="1"/>
        <v>3637374</v>
      </c>
      <c r="I60" s="21">
        <f t="shared" si="9"/>
        <v>0</v>
      </c>
      <c r="J60" s="22">
        <v>0</v>
      </c>
      <c r="K60" s="23">
        <v>0</v>
      </c>
      <c r="L60" s="23">
        <v>0</v>
      </c>
      <c r="M60" s="23">
        <v>0</v>
      </c>
      <c r="N60" s="22">
        <f>(D60*0.5)/0.5</f>
        <v>3637374</v>
      </c>
      <c r="O60" s="22">
        <f>F60+H60</f>
        <v>7274748</v>
      </c>
      <c r="P60" s="49"/>
      <c r="Q60" s="18">
        <f t="shared" si="7"/>
        <v>3384058.1546594445</v>
      </c>
      <c r="R60" s="78"/>
      <c r="S60" s="121">
        <v>6.9642507298</v>
      </c>
      <c r="T60" s="56">
        <v>0</v>
      </c>
      <c r="V60" s="109"/>
      <c r="W60" s="92"/>
    </row>
    <row r="61" spans="1:23" ht="24">
      <c r="A61" s="179" t="s">
        <v>79</v>
      </c>
      <c r="B61" s="179" t="s">
        <v>74</v>
      </c>
      <c r="C61" s="102" t="s">
        <v>49</v>
      </c>
      <c r="D61" s="22">
        <v>20588986</v>
      </c>
      <c r="E61" s="22">
        <v>0</v>
      </c>
      <c r="F61" s="21">
        <f t="shared" si="8"/>
        <v>20588986</v>
      </c>
      <c r="G61" s="53">
        <v>0</v>
      </c>
      <c r="H61" s="45">
        <f t="shared" si="1"/>
        <v>5147246.5</v>
      </c>
      <c r="I61" s="21">
        <f t="shared" si="9"/>
        <v>0</v>
      </c>
      <c r="J61" s="22">
        <v>0</v>
      </c>
      <c r="K61" s="53">
        <v>0</v>
      </c>
      <c r="L61" s="53">
        <v>0</v>
      </c>
      <c r="M61" s="53">
        <v>0</v>
      </c>
      <c r="N61" s="22">
        <f>(D61*0.2)/0.8</f>
        <v>5147246.5</v>
      </c>
      <c r="O61" s="22">
        <f>F61+H61</f>
        <v>25736232.5</v>
      </c>
      <c r="P61" s="49"/>
      <c r="Q61" s="18">
        <f t="shared" si="7"/>
        <v>19157150.66854353</v>
      </c>
      <c r="R61" s="78"/>
      <c r="S61" s="121">
        <v>6.9543751764</v>
      </c>
      <c r="T61" s="56">
        <v>0</v>
      </c>
      <c r="V61" s="93"/>
      <c r="W61" s="92"/>
    </row>
    <row r="62" spans="1:23" ht="24">
      <c r="A62" s="180"/>
      <c r="B62" s="180"/>
      <c r="C62" s="102" t="s">
        <v>50</v>
      </c>
      <c r="D62" s="22">
        <v>1372599</v>
      </c>
      <c r="E62" s="22">
        <v>0</v>
      </c>
      <c r="F62" s="22">
        <f t="shared" si="8"/>
        <v>1372599</v>
      </c>
      <c r="G62" s="23">
        <v>0</v>
      </c>
      <c r="H62" s="45">
        <f>SUM(I62+N62)</f>
        <v>343149.74999999994</v>
      </c>
      <c r="I62" s="21">
        <f t="shared" si="9"/>
        <v>0</v>
      </c>
      <c r="J62" s="22">
        <v>0</v>
      </c>
      <c r="K62" s="23">
        <v>0</v>
      </c>
      <c r="L62" s="23">
        <v>0</v>
      </c>
      <c r="M62" s="23">
        <v>0</v>
      </c>
      <c r="N62" s="22">
        <f>(D62*0.2)/0.8</f>
        <v>343149.74999999994</v>
      </c>
      <c r="O62" s="22">
        <f>F62+H62</f>
        <v>1715748.75</v>
      </c>
      <c r="P62" s="49"/>
      <c r="Q62" s="18">
        <f t="shared" si="7"/>
        <v>1277007.7641252724</v>
      </c>
      <c r="R62" s="78"/>
      <c r="S62" s="121">
        <v>6.9642507298</v>
      </c>
      <c r="T62" s="56">
        <v>0</v>
      </c>
      <c r="V62" s="109"/>
      <c r="W62" s="92"/>
    </row>
    <row r="63" spans="1:23" ht="24">
      <c r="A63" s="166" t="s">
        <v>80</v>
      </c>
      <c r="B63" s="166" t="s">
        <v>74</v>
      </c>
      <c r="C63" s="71" t="s">
        <v>49</v>
      </c>
      <c r="D63" s="22">
        <v>68497151</v>
      </c>
      <c r="E63" s="22">
        <v>0</v>
      </c>
      <c r="F63" s="22">
        <f t="shared" si="8"/>
        <v>68497151</v>
      </c>
      <c r="G63" s="23">
        <v>0</v>
      </c>
      <c r="H63" s="45">
        <f t="shared" si="1"/>
        <v>22832383.666666668</v>
      </c>
      <c r="I63" s="21">
        <f t="shared" si="9"/>
        <v>0</v>
      </c>
      <c r="J63" s="23">
        <v>0</v>
      </c>
      <c r="K63" s="23">
        <v>0</v>
      </c>
      <c r="L63" s="23">
        <v>0</v>
      </c>
      <c r="M63" s="23">
        <v>0</v>
      </c>
      <c r="N63" s="22">
        <f>D63*0.25/0.75</f>
        <v>22832383.666666668</v>
      </c>
      <c r="O63" s="22">
        <f>F63+H63</f>
        <v>91329534.66666667</v>
      </c>
      <c r="P63" s="49"/>
      <c r="Q63" s="18">
        <f t="shared" si="7"/>
        <v>63733602.134314775</v>
      </c>
      <c r="R63" s="78"/>
      <c r="S63" s="121">
        <v>6.9543751764</v>
      </c>
      <c r="T63" s="56">
        <v>0</v>
      </c>
      <c r="V63" s="93"/>
      <c r="W63" s="92"/>
    </row>
    <row r="64" spans="1:23" ht="24">
      <c r="A64" s="166"/>
      <c r="B64" s="166"/>
      <c r="C64" s="71" t="s">
        <v>50</v>
      </c>
      <c r="D64" s="22">
        <v>4566477</v>
      </c>
      <c r="E64" s="22">
        <v>0</v>
      </c>
      <c r="F64" s="22">
        <f t="shared" si="8"/>
        <v>4566477</v>
      </c>
      <c r="G64" s="23">
        <v>0</v>
      </c>
      <c r="H64" s="45">
        <f t="shared" si="1"/>
        <v>1522159</v>
      </c>
      <c r="I64" s="21">
        <f t="shared" si="9"/>
        <v>0</v>
      </c>
      <c r="J64" s="23">
        <v>0</v>
      </c>
      <c r="K64" s="23">
        <v>0</v>
      </c>
      <c r="L64" s="23">
        <v>0</v>
      </c>
      <c r="M64" s="23">
        <v>0</v>
      </c>
      <c r="N64" s="22">
        <f>(F64*0.25)/0.75</f>
        <v>1522159</v>
      </c>
      <c r="O64" s="22">
        <f>D64+H64</f>
        <v>6088636</v>
      </c>
      <c r="P64" s="49"/>
      <c r="Q64" s="18">
        <f t="shared" si="7"/>
        <v>4248456.092201351</v>
      </c>
      <c r="R64" s="78"/>
      <c r="S64" s="121">
        <v>6.9642507298</v>
      </c>
      <c r="T64" s="56">
        <v>0</v>
      </c>
      <c r="V64" s="109"/>
      <c r="W64" s="92"/>
    </row>
    <row r="65" spans="1:20" ht="24">
      <c r="A65" s="166" t="s">
        <v>81</v>
      </c>
      <c r="B65" s="166" t="s">
        <v>74</v>
      </c>
      <c r="C65" s="71" t="s">
        <v>49</v>
      </c>
      <c r="D65" s="22">
        <v>5721429</v>
      </c>
      <c r="E65" s="22">
        <v>0</v>
      </c>
      <c r="F65" s="22">
        <f t="shared" si="8"/>
        <v>5721429</v>
      </c>
      <c r="G65" s="23">
        <v>0</v>
      </c>
      <c r="H65" s="45">
        <f t="shared" si="1"/>
        <v>5721429</v>
      </c>
      <c r="I65" s="21">
        <f t="shared" si="9"/>
        <v>0</v>
      </c>
      <c r="J65" s="23">
        <v>0</v>
      </c>
      <c r="K65" s="23">
        <v>0</v>
      </c>
      <c r="L65" s="23">
        <v>0</v>
      </c>
      <c r="M65" s="23">
        <v>0</v>
      </c>
      <c r="N65" s="22">
        <f>D65*0.5/0.5</f>
        <v>5721429</v>
      </c>
      <c r="O65" s="22">
        <f>D65+H65</f>
        <v>11442858</v>
      </c>
      <c r="P65" s="49"/>
      <c r="Q65" s="18">
        <f t="shared" si="7"/>
        <v>5323539.361888649</v>
      </c>
      <c r="R65" s="79"/>
      <c r="S65" s="121">
        <v>6.9543751764</v>
      </c>
      <c r="T65" s="56">
        <v>0</v>
      </c>
    </row>
    <row r="66" spans="1:20" ht="24">
      <c r="A66" s="166"/>
      <c r="B66" s="166"/>
      <c r="C66" s="71" t="s">
        <v>50</v>
      </c>
      <c r="D66" s="22">
        <f>631905+821635</f>
        <v>1453540</v>
      </c>
      <c r="E66" s="22">
        <v>0</v>
      </c>
      <c r="F66" s="22">
        <f>D66</f>
        <v>1453540</v>
      </c>
      <c r="G66" s="23">
        <v>0</v>
      </c>
      <c r="H66" s="45">
        <f>SUM(I66+N66)</f>
        <v>1453540</v>
      </c>
      <c r="I66" s="21">
        <f t="shared" si="9"/>
        <v>0</v>
      </c>
      <c r="J66" s="23">
        <v>0</v>
      </c>
      <c r="K66" s="23">
        <v>0</v>
      </c>
      <c r="L66" s="23">
        <v>0</v>
      </c>
      <c r="M66" s="23">
        <v>0</v>
      </c>
      <c r="N66" s="22">
        <f>D66*0.5/0.5</f>
        <v>1453540</v>
      </c>
      <c r="O66" s="22">
        <f>D66+H66</f>
        <v>2907080</v>
      </c>
      <c r="P66" s="49"/>
      <c r="Q66" s="18">
        <f t="shared" si="7"/>
        <v>1352311.829942065</v>
      </c>
      <c r="R66" s="22"/>
      <c r="S66" s="122">
        <v>6.9642507298</v>
      </c>
      <c r="T66" s="56">
        <v>0</v>
      </c>
    </row>
    <row r="67" spans="1:20" ht="24">
      <c r="A67" s="166" t="s">
        <v>82</v>
      </c>
      <c r="B67" s="166" t="s">
        <v>75</v>
      </c>
      <c r="C67" s="71" t="s">
        <v>49</v>
      </c>
      <c r="D67" s="22">
        <f>SUM(D69,D71,D73)</f>
        <v>1630901289</v>
      </c>
      <c r="E67" s="22">
        <v>0</v>
      </c>
      <c r="F67" s="22">
        <f>SUM(F69,F71,F73)</f>
        <v>1630901289</v>
      </c>
      <c r="G67" s="23">
        <v>0</v>
      </c>
      <c r="H67" s="45">
        <f t="shared" si="1"/>
        <v>660715978.3214285</v>
      </c>
      <c r="I67" s="21"/>
      <c r="J67" s="23">
        <v>0</v>
      </c>
      <c r="K67" s="23">
        <v>0</v>
      </c>
      <c r="L67" s="23">
        <v>0</v>
      </c>
      <c r="M67" s="23">
        <v>0</v>
      </c>
      <c r="N67" s="22">
        <f>N69+N71+N73</f>
        <v>660715978.3214285</v>
      </c>
      <c r="O67" s="21">
        <f>O69+O71+O73</f>
        <v>2291617267.321429</v>
      </c>
      <c r="P67" s="49"/>
      <c r="Q67" s="18">
        <f t="shared" si="7"/>
        <v>1517482294.6061964</v>
      </c>
      <c r="R67" s="80"/>
      <c r="S67" s="121">
        <v>6.9543751764</v>
      </c>
      <c r="T67" s="56">
        <v>0</v>
      </c>
    </row>
    <row r="68" spans="1:23" ht="24">
      <c r="A68" s="166"/>
      <c r="B68" s="166"/>
      <c r="C68" s="71" t="s">
        <v>50</v>
      </c>
      <c r="D68" s="22">
        <f>SUM(D70,D72,D74)</f>
        <v>154683774</v>
      </c>
      <c r="E68" s="22">
        <v>0</v>
      </c>
      <c r="F68" s="22">
        <f>SUM(F70,F72,F74)</f>
        <v>154683774</v>
      </c>
      <c r="G68" s="23">
        <v>0</v>
      </c>
      <c r="H68" s="45">
        <f t="shared" si="1"/>
        <v>63743598.142857134</v>
      </c>
      <c r="I68" s="21"/>
      <c r="J68" s="23">
        <v>0</v>
      </c>
      <c r="K68" s="23">
        <v>0</v>
      </c>
      <c r="L68" s="23">
        <v>0</v>
      </c>
      <c r="M68" s="23">
        <v>0</v>
      </c>
      <c r="N68" s="22">
        <f>N70+N72+N74</f>
        <v>63743598.142857134</v>
      </c>
      <c r="O68" s="22">
        <f>O70+O72+O74</f>
        <v>218427372.14285713</v>
      </c>
      <c r="P68" s="49"/>
      <c r="Q68" s="18">
        <f>(D68-((D68*S68))/100)</f>
        <v>143911208.1403228</v>
      </c>
      <c r="R68" s="80"/>
      <c r="S68" s="122">
        <v>6.9642507298</v>
      </c>
      <c r="T68" s="56">
        <v>0</v>
      </c>
      <c r="W68" s="106"/>
    </row>
    <row r="69" spans="1:20" ht="24">
      <c r="A69" s="166" t="s">
        <v>83</v>
      </c>
      <c r="B69" s="166" t="s">
        <v>75</v>
      </c>
      <c r="C69" s="71" t="s">
        <v>49</v>
      </c>
      <c r="D69" s="22">
        <v>990170413</v>
      </c>
      <c r="E69" s="22">
        <v>0</v>
      </c>
      <c r="F69" s="22">
        <f aca="true" t="shared" si="10" ref="F69:F74">D69</f>
        <v>990170413</v>
      </c>
      <c r="G69" s="23">
        <v>0</v>
      </c>
      <c r="H69" s="45">
        <f t="shared" si="1"/>
        <v>424358748.4285714</v>
      </c>
      <c r="I69" s="21">
        <f aca="true" t="shared" si="11" ref="I69:I74">SUM(J69:M69)</f>
        <v>0</v>
      </c>
      <c r="J69" s="23">
        <v>0</v>
      </c>
      <c r="K69" s="23">
        <v>0</v>
      </c>
      <c r="L69" s="23">
        <v>0</v>
      </c>
      <c r="M69" s="23">
        <v>0</v>
      </c>
      <c r="N69" s="22">
        <f>(F69*0.3)/0.7</f>
        <v>424358748.4285714</v>
      </c>
      <c r="O69" s="22">
        <f>SUM(D69+H69)</f>
        <v>1414529161.4285715</v>
      </c>
      <c r="P69" s="49"/>
      <c r="Q69" s="18">
        <v>910885116</v>
      </c>
      <c r="R69" s="78"/>
      <c r="S69" s="122">
        <v>6.9543751764</v>
      </c>
      <c r="T69" s="56">
        <v>0</v>
      </c>
    </row>
    <row r="70" spans="1:20" ht="24">
      <c r="A70" s="166"/>
      <c r="B70" s="166"/>
      <c r="C70" s="71" t="s">
        <v>50</v>
      </c>
      <c r="D70" s="22">
        <v>94929127</v>
      </c>
      <c r="E70" s="22">
        <v>0</v>
      </c>
      <c r="F70" s="22">
        <f t="shared" si="10"/>
        <v>94929127</v>
      </c>
      <c r="G70" s="23">
        <v>0</v>
      </c>
      <c r="H70" s="45">
        <f>SUM(I70+N70)</f>
        <v>40683911.57142857</v>
      </c>
      <c r="I70" s="21">
        <f t="shared" si="11"/>
        <v>0</v>
      </c>
      <c r="J70" s="23">
        <v>0</v>
      </c>
      <c r="K70" s="23">
        <v>0</v>
      </c>
      <c r="L70" s="23">
        <v>0</v>
      </c>
      <c r="M70" s="23">
        <v>0</v>
      </c>
      <c r="N70" s="22">
        <f>(F70*0.3)/0.7</f>
        <v>40683911.57142857</v>
      </c>
      <c r="O70" s="22">
        <f>SUM(D70+H70)</f>
        <v>135613038.57142857</v>
      </c>
      <c r="P70" s="49"/>
      <c r="Q70" s="18">
        <v>87622029</v>
      </c>
      <c r="R70" s="78"/>
      <c r="S70" s="122">
        <v>6.9642507298</v>
      </c>
      <c r="T70" s="56">
        <v>0</v>
      </c>
    </row>
    <row r="71" spans="1:20" ht="24">
      <c r="A71" s="166" t="s">
        <v>84</v>
      </c>
      <c r="B71" s="166" t="s">
        <v>75</v>
      </c>
      <c r="C71" s="71" t="s">
        <v>49</v>
      </c>
      <c r="D71" s="22">
        <v>426577261</v>
      </c>
      <c r="E71" s="22">
        <v>0</v>
      </c>
      <c r="F71" s="22">
        <f t="shared" si="10"/>
        <v>426577261</v>
      </c>
      <c r="G71" s="23">
        <v>0</v>
      </c>
      <c r="H71" s="45">
        <f t="shared" si="1"/>
        <v>182818826.14285716</v>
      </c>
      <c r="I71" s="21">
        <f t="shared" si="11"/>
        <v>0</v>
      </c>
      <c r="J71" s="23">
        <v>0</v>
      </c>
      <c r="K71" s="23">
        <v>0</v>
      </c>
      <c r="L71" s="23">
        <v>0</v>
      </c>
      <c r="M71" s="23">
        <v>0</v>
      </c>
      <c r="N71" s="22">
        <f>(F71*0.3)/0.7</f>
        <v>182818826.14285716</v>
      </c>
      <c r="O71" s="22">
        <f>D71+H71</f>
        <v>609396087.1428572</v>
      </c>
      <c r="P71" s="49"/>
      <c r="Q71" s="18">
        <v>392443564</v>
      </c>
      <c r="R71" s="78"/>
      <c r="S71" s="121">
        <v>6.9543751764</v>
      </c>
      <c r="T71" s="56">
        <v>0</v>
      </c>
    </row>
    <row r="72" spans="1:20" ht="24">
      <c r="A72" s="166"/>
      <c r="B72" s="166"/>
      <c r="C72" s="71" t="s">
        <v>50</v>
      </c>
      <c r="D72" s="22">
        <v>45477739</v>
      </c>
      <c r="E72" s="22">
        <v>0</v>
      </c>
      <c r="F72" s="22">
        <f t="shared" si="10"/>
        <v>45477739</v>
      </c>
      <c r="G72" s="23">
        <v>0</v>
      </c>
      <c r="H72" s="45">
        <f t="shared" si="1"/>
        <v>19490459.57142857</v>
      </c>
      <c r="I72" s="21">
        <f t="shared" si="11"/>
        <v>0</v>
      </c>
      <c r="J72" s="23">
        <v>0</v>
      </c>
      <c r="K72" s="23">
        <v>0</v>
      </c>
      <c r="L72" s="23">
        <v>0</v>
      </c>
      <c r="M72" s="23">
        <v>0</v>
      </c>
      <c r="N72" s="22">
        <f>(F72*0.3)/0.7</f>
        <v>19490459.57142857</v>
      </c>
      <c r="O72" s="22">
        <f>D72+H72</f>
        <v>64968198.57142857</v>
      </c>
      <c r="P72" s="49"/>
      <c r="Q72" s="18">
        <v>42012271</v>
      </c>
      <c r="R72" s="78"/>
      <c r="S72" s="121">
        <v>6.9642507298</v>
      </c>
      <c r="T72" s="56">
        <v>0</v>
      </c>
    </row>
    <row r="73" spans="1:20" ht="24">
      <c r="A73" s="176" t="s">
        <v>85</v>
      </c>
      <c r="B73" s="176" t="s">
        <v>75</v>
      </c>
      <c r="C73" s="102" t="s">
        <v>49</v>
      </c>
      <c r="D73" s="22">
        <v>214153615</v>
      </c>
      <c r="E73" s="22">
        <v>0</v>
      </c>
      <c r="F73" s="22">
        <f t="shared" si="10"/>
        <v>214153615</v>
      </c>
      <c r="G73" s="23">
        <v>0</v>
      </c>
      <c r="H73" s="45">
        <f t="shared" si="1"/>
        <v>53538403.75</v>
      </c>
      <c r="I73" s="21">
        <f t="shared" si="11"/>
        <v>0</v>
      </c>
      <c r="J73" s="23">
        <v>0</v>
      </c>
      <c r="K73" s="23">
        <v>0</v>
      </c>
      <c r="L73" s="23">
        <v>0</v>
      </c>
      <c r="M73" s="23">
        <v>0</v>
      </c>
      <c r="N73" s="22">
        <f>SUM(D73*0.25)</f>
        <v>53538403.75</v>
      </c>
      <c r="O73" s="22">
        <f>D73+H73</f>
        <v>267692018.75</v>
      </c>
      <c r="P73" s="49"/>
      <c r="Q73" s="18">
        <v>214153615</v>
      </c>
      <c r="R73" s="78"/>
      <c r="S73" s="121">
        <v>0</v>
      </c>
      <c r="T73" s="56">
        <v>0</v>
      </c>
    </row>
    <row r="74" spans="1:20" ht="24">
      <c r="A74" s="176"/>
      <c r="B74" s="176"/>
      <c r="C74" s="102" t="s">
        <v>50</v>
      </c>
      <c r="D74" s="22">
        <v>14276908</v>
      </c>
      <c r="E74" s="22">
        <v>0</v>
      </c>
      <c r="F74" s="22">
        <f t="shared" si="10"/>
        <v>14276908</v>
      </c>
      <c r="G74" s="23">
        <v>0</v>
      </c>
      <c r="H74" s="45">
        <f>SUM(I74+N74)</f>
        <v>3569227</v>
      </c>
      <c r="I74" s="21">
        <f t="shared" si="11"/>
        <v>0</v>
      </c>
      <c r="J74" s="23">
        <v>0</v>
      </c>
      <c r="K74" s="23">
        <v>0</v>
      </c>
      <c r="L74" s="23">
        <v>0</v>
      </c>
      <c r="M74" s="23">
        <v>0</v>
      </c>
      <c r="N74" s="22">
        <f>SUM(D74*0.25)</f>
        <v>3569227</v>
      </c>
      <c r="O74" s="22">
        <f>D74+H74</f>
        <v>17846135</v>
      </c>
      <c r="P74" s="49"/>
      <c r="Q74" s="18">
        <v>14276908</v>
      </c>
      <c r="R74" s="78"/>
      <c r="S74" s="121">
        <v>0</v>
      </c>
      <c r="T74" s="56">
        <v>0</v>
      </c>
    </row>
    <row r="75" spans="1:20" ht="24">
      <c r="A75" s="166" t="s">
        <v>86</v>
      </c>
      <c r="B75" s="166" t="s">
        <v>75</v>
      </c>
      <c r="C75" s="71" t="s">
        <v>49</v>
      </c>
      <c r="D75" s="22">
        <f>D77+D79+D81</f>
        <v>190661068</v>
      </c>
      <c r="E75" s="22">
        <v>0</v>
      </c>
      <c r="F75" s="22">
        <f>F77+F79+F81</f>
        <v>190661068</v>
      </c>
      <c r="G75" s="23">
        <v>0</v>
      </c>
      <c r="H75" s="45">
        <f>SUM(I75+N75)</f>
        <v>49376704.8</v>
      </c>
      <c r="I75" s="21">
        <v>6362206</v>
      </c>
      <c r="J75" s="22">
        <f>J77+J79</f>
        <v>6362206.294117647</v>
      </c>
      <c r="K75" s="23">
        <v>0</v>
      </c>
      <c r="L75" s="23">
        <v>0</v>
      </c>
      <c r="M75" s="23">
        <v>0</v>
      </c>
      <c r="N75" s="22">
        <f>N81</f>
        <v>43014498.8</v>
      </c>
      <c r="O75" s="22">
        <f>O77+O79+O81</f>
        <v>240037772.8</v>
      </c>
      <c r="P75" s="49"/>
      <c r="Q75" s="18">
        <v>177401782</v>
      </c>
      <c r="R75" s="80"/>
      <c r="S75" s="121">
        <v>6.9543751764</v>
      </c>
      <c r="T75" s="56">
        <v>0</v>
      </c>
    </row>
    <row r="76" spans="1:20" ht="24">
      <c r="A76" s="166"/>
      <c r="B76" s="166"/>
      <c r="C76" s="71" t="s">
        <v>50</v>
      </c>
      <c r="D76" s="22">
        <f>D78+D80+D82</f>
        <v>28592112</v>
      </c>
      <c r="E76" s="22">
        <v>0</v>
      </c>
      <c r="F76" s="22">
        <f>F78+F80+F82</f>
        <v>28592112</v>
      </c>
      <c r="G76" s="23">
        <v>0</v>
      </c>
      <c r="H76" s="45">
        <f>SUM(I76+N76)</f>
        <v>9224266.2</v>
      </c>
      <c r="I76" s="21">
        <v>798152</v>
      </c>
      <c r="J76" s="22">
        <f>J78+J80</f>
        <v>798152</v>
      </c>
      <c r="K76" s="23">
        <v>0</v>
      </c>
      <c r="L76" s="23">
        <v>0</v>
      </c>
      <c r="M76" s="23">
        <v>0</v>
      </c>
      <c r="N76" s="22">
        <f>N82</f>
        <v>8426114.2</v>
      </c>
      <c r="O76" s="22">
        <f>O78+O80+O82</f>
        <v>37816378.2</v>
      </c>
      <c r="P76" s="49"/>
      <c r="Q76" s="18">
        <v>26600886</v>
      </c>
      <c r="R76" s="80"/>
      <c r="S76" s="121">
        <v>6.9642507298</v>
      </c>
      <c r="T76" s="56">
        <v>0</v>
      </c>
    </row>
    <row r="77" spans="1:20" ht="24">
      <c r="A77" s="166" t="s">
        <v>87</v>
      </c>
      <c r="B77" s="166" t="s">
        <v>75</v>
      </c>
      <c r="C77" s="71" t="s">
        <v>49</v>
      </c>
      <c r="D77" s="22">
        <v>39637500</v>
      </c>
      <c r="E77" s="22">
        <v>0</v>
      </c>
      <c r="F77" s="22">
        <f aca="true" t="shared" si="12" ref="F77:F82">D77</f>
        <v>39637500</v>
      </c>
      <c r="G77" s="23">
        <v>0</v>
      </c>
      <c r="H77" s="45">
        <f>SUM(I77+N77)</f>
        <v>1398971</v>
      </c>
      <c r="I77" s="21">
        <v>1398971</v>
      </c>
      <c r="J77" s="22">
        <v>1398971</v>
      </c>
      <c r="K77" s="23">
        <v>0</v>
      </c>
      <c r="L77" s="23">
        <v>0</v>
      </c>
      <c r="M77" s="23">
        <v>0</v>
      </c>
      <c r="N77" s="22">
        <v>0</v>
      </c>
      <c r="O77" s="22">
        <f>F77+H77</f>
        <v>41036471</v>
      </c>
      <c r="P77" s="49"/>
      <c r="Q77" s="18">
        <v>36880960</v>
      </c>
      <c r="R77" s="78"/>
      <c r="S77" s="121">
        <v>6.9543751764</v>
      </c>
      <c r="T77" s="56">
        <v>0</v>
      </c>
    </row>
    <row r="78" spans="1:20" ht="24">
      <c r="A78" s="166"/>
      <c r="B78" s="166"/>
      <c r="C78" s="71" t="s">
        <v>50</v>
      </c>
      <c r="D78" s="22">
        <v>2642500</v>
      </c>
      <c r="E78" s="22">
        <v>0</v>
      </c>
      <c r="F78" s="22">
        <f t="shared" si="12"/>
        <v>2642500</v>
      </c>
      <c r="G78" s="23">
        <v>0</v>
      </c>
      <c r="H78" s="22">
        <f>((D78*0.2)*0.2)/0.8</f>
        <v>132125</v>
      </c>
      <c r="I78" s="21">
        <v>132125</v>
      </c>
      <c r="J78" s="22">
        <f>H78</f>
        <v>132125</v>
      </c>
      <c r="K78" s="23">
        <v>0</v>
      </c>
      <c r="L78" s="23">
        <v>0</v>
      </c>
      <c r="M78" s="23">
        <v>0</v>
      </c>
      <c r="N78" s="22">
        <v>0</v>
      </c>
      <c r="O78" s="22">
        <f>F78+H78</f>
        <v>2774625</v>
      </c>
      <c r="P78" s="49"/>
      <c r="Q78" s="18">
        <v>2458470</v>
      </c>
      <c r="R78" s="78"/>
      <c r="S78" s="121">
        <v>6.9642507298</v>
      </c>
      <c r="T78" s="56">
        <v>0</v>
      </c>
    </row>
    <row r="79" spans="1:23" ht="24">
      <c r="A79" s="166" t="s">
        <v>88</v>
      </c>
      <c r="B79" s="166" t="s">
        <v>75</v>
      </c>
      <c r="C79" s="71" t="s">
        <v>49</v>
      </c>
      <c r="D79" s="22">
        <v>28125000</v>
      </c>
      <c r="E79" s="22">
        <v>0</v>
      </c>
      <c r="F79" s="22">
        <f t="shared" si="12"/>
        <v>28125000</v>
      </c>
      <c r="G79" s="23">
        <v>0</v>
      </c>
      <c r="H79" s="22">
        <f>I79+N79</f>
        <v>4963235</v>
      </c>
      <c r="I79" s="21">
        <v>4963235</v>
      </c>
      <c r="J79" s="22">
        <f>(F79*0.15)/0.85</f>
        <v>4963235.294117647</v>
      </c>
      <c r="K79" s="23">
        <v>0</v>
      </c>
      <c r="L79" s="23">
        <v>0</v>
      </c>
      <c r="M79" s="23">
        <v>0</v>
      </c>
      <c r="N79" s="22">
        <v>0</v>
      </c>
      <c r="O79" s="22">
        <f aca="true" t="shared" si="13" ref="O79:O100">D79+H79</f>
        <v>33088235</v>
      </c>
      <c r="P79" s="49"/>
      <c r="Q79" s="18">
        <v>26169082</v>
      </c>
      <c r="R79" s="78"/>
      <c r="S79" s="121">
        <v>6.9543751764</v>
      </c>
      <c r="T79" s="56">
        <v>0</v>
      </c>
      <c r="W79" s="106"/>
    </row>
    <row r="80" spans="1:23" ht="24">
      <c r="A80" s="166"/>
      <c r="B80" s="166"/>
      <c r="C80" s="71" t="s">
        <v>50</v>
      </c>
      <c r="D80" s="22">
        <v>1875000</v>
      </c>
      <c r="E80" s="22">
        <v>0</v>
      </c>
      <c r="F80" s="22">
        <f t="shared" si="12"/>
        <v>1875000</v>
      </c>
      <c r="G80" s="23">
        <v>0</v>
      </c>
      <c r="H80" s="22">
        <f>I80+N80</f>
        <v>666027</v>
      </c>
      <c r="I80" s="21">
        <v>666027</v>
      </c>
      <c r="J80" s="22">
        <v>666027</v>
      </c>
      <c r="K80" s="23">
        <v>0</v>
      </c>
      <c r="L80" s="23">
        <v>0</v>
      </c>
      <c r="M80" s="23">
        <v>0</v>
      </c>
      <c r="N80" s="23">
        <v>0</v>
      </c>
      <c r="O80" s="22">
        <f t="shared" si="13"/>
        <v>2541027</v>
      </c>
      <c r="P80" s="49"/>
      <c r="Q80" s="18">
        <v>1744420</v>
      </c>
      <c r="R80" s="78"/>
      <c r="S80" s="121">
        <v>6.9642507298</v>
      </c>
      <c r="T80" s="56">
        <v>0</v>
      </c>
      <c r="W80" s="106"/>
    </row>
    <row r="81" spans="1:23" ht="24">
      <c r="A81" s="166" t="s">
        <v>89</v>
      </c>
      <c r="B81" s="166" t="s">
        <v>75</v>
      </c>
      <c r="C81" s="71" t="s">
        <v>49</v>
      </c>
      <c r="D81" s="22">
        <v>122898568</v>
      </c>
      <c r="E81" s="22">
        <v>0</v>
      </c>
      <c r="F81" s="44">
        <f t="shared" si="12"/>
        <v>122898568</v>
      </c>
      <c r="G81" s="75">
        <v>0</v>
      </c>
      <c r="H81" s="44">
        <f>SUM(N81)</f>
        <v>43014498.8</v>
      </c>
      <c r="I81" s="81">
        <v>0</v>
      </c>
      <c r="J81" s="82">
        <v>0</v>
      </c>
      <c r="K81" s="75">
        <v>0</v>
      </c>
      <c r="L81" s="75">
        <v>0</v>
      </c>
      <c r="M81" s="75">
        <v>0</v>
      </c>
      <c r="N81" s="44">
        <f>SUM(D81*0.35)</f>
        <v>43014498.8</v>
      </c>
      <c r="O81" s="44">
        <f>D81+H81</f>
        <v>165913066.8</v>
      </c>
      <c r="P81" s="83"/>
      <c r="Q81" s="46">
        <v>114351740</v>
      </c>
      <c r="R81" s="84"/>
      <c r="S81" s="123">
        <v>6.9543751764</v>
      </c>
      <c r="T81" s="85">
        <v>0</v>
      </c>
      <c r="V81" s="93"/>
      <c r="W81" s="106"/>
    </row>
    <row r="82" spans="1:22" ht="24">
      <c r="A82" s="166"/>
      <c r="B82" s="166"/>
      <c r="C82" s="71" t="s">
        <v>50</v>
      </c>
      <c r="D82" s="22">
        <v>24074612</v>
      </c>
      <c r="E82" s="22">
        <v>0</v>
      </c>
      <c r="F82" s="22">
        <f t="shared" si="12"/>
        <v>24074612</v>
      </c>
      <c r="G82" s="23">
        <v>0</v>
      </c>
      <c r="H82" s="44">
        <f>SUM(N82)</f>
        <v>8426114.2</v>
      </c>
      <c r="I82" s="21">
        <v>0</v>
      </c>
      <c r="J82" s="86">
        <v>0</v>
      </c>
      <c r="K82" s="23">
        <v>0</v>
      </c>
      <c r="L82" s="23">
        <v>0</v>
      </c>
      <c r="M82" s="23">
        <v>0</v>
      </c>
      <c r="N82" s="44">
        <f>SUM(D82*0.35)</f>
        <v>8426114.2</v>
      </c>
      <c r="O82" s="22">
        <f t="shared" si="13"/>
        <v>32500726.2</v>
      </c>
      <c r="P82" s="49"/>
      <c r="Q82" s="22">
        <v>22397996</v>
      </c>
      <c r="R82" s="78"/>
      <c r="S82" s="122">
        <v>6.9642507298</v>
      </c>
      <c r="T82" s="23">
        <v>0</v>
      </c>
      <c r="V82" s="93"/>
    </row>
    <row r="83" spans="1:36" s="90" customFormat="1" ht="24">
      <c r="A83" s="170" t="s">
        <v>90</v>
      </c>
      <c r="B83" s="162" t="s">
        <v>91</v>
      </c>
      <c r="C83" s="149" t="s">
        <v>49</v>
      </c>
      <c r="D83" s="131">
        <f>D85+D95+D97+D99</f>
        <v>1142671364</v>
      </c>
      <c r="E83" s="129">
        <v>0</v>
      </c>
      <c r="F83" s="131">
        <f>F85+F95+F97+F99</f>
        <v>1142671364</v>
      </c>
      <c r="G83" s="132">
        <v>0</v>
      </c>
      <c r="H83" s="131">
        <f>I83+N83</f>
        <v>294177789</v>
      </c>
      <c r="I83" s="142">
        <v>23797058</v>
      </c>
      <c r="J83" s="142">
        <f>SUM(J85,J95,J97,J99)</f>
        <v>23797058</v>
      </c>
      <c r="K83" s="132">
        <v>0</v>
      </c>
      <c r="L83" s="132">
        <v>0</v>
      </c>
      <c r="M83" s="132">
        <v>0</v>
      </c>
      <c r="N83" s="131">
        <f>N85+N95+N97+N99</f>
        <v>270380731</v>
      </c>
      <c r="O83" s="131">
        <v>1436849153</v>
      </c>
      <c r="P83" s="150"/>
      <c r="Q83" s="131">
        <f t="shared" si="7"/>
        <v>1062684369</v>
      </c>
      <c r="R83" s="131">
        <v>79986995</v>
      </c>
      <c r="S83" s="151">
        <f>(R83/D83)*100</f>
        <v>6.999999957993172</v>
      </c>
      <c r="T83" s="132">
        <v>0</v>
      </c>
      <c r="U83"/>
      <c r="V83" s="105"/>
      <c r="W83" s="106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/>
      <c r="AJ83"/>
    </row>
    <row r="84" spans="1:36" s="90" customFormat="1" ht="24">
      <c r="A84" s="170"/>
      <c r="B84" s="162"/>
      <c r="C84" s="149" t="s">
        <v>50</v>
      </c>
      <c r="D84" s="131">
        <f>SUM(D86,D96,D98,D100)</f>
        <v>80302251</v>
      </c>
      <c r="E84" s="129">
        <v>0</v>
      </c>
      <c r="F84" s="131">
        <f>F86+F96+F98+F100</f>
        <v>80302251</v>
      </c>
      <c r="G84" s="132">
        <v>0</v>
      </c>
      <c r="H84" s="131">
        <f aca="true" t="shared" si="14" ref="H84:H104">I84+N84</f>
        <v>21607274</v>
      </c>
      <c r="I84" s="142">
        <v>2537500</v>
      </c>
      <c r="J84" s="142">
        <f>SUM(J86,J96,J98,J100)</f>
        <v>2537500</v>
      </c>
      <c r="K84" s="132">
        <v>0</v>
      </c>
      <c r="L84" s="132">
        <v>0</v>
      </c>
      <c r="M84" s="132">
        <v>0</v>
      </c>
      <c r="N84" s="131">
        <f>N86+N96+N98+N100</f>
        <v>19069774</v>
      </c>
      <c r="O84" s="131">
        <v>101909525</v>
      </c>
      <c r="P84" s="150"/>
      <c r="Q84" s="131">
        <f t="shared" si="7"/>
        <v>74681094</v>
      </c>
      <c r="R84" s="131">
        <v>5621157</v>
      </c>
      <c r="S84" s="151">
        <f>(R84/D84)*100</f>
        <v>6.9999992901817905</v>
      </c>
      <c r="T84" s="132">
        <v>0</v>
      </c>
      <c r="U84"/>
      <c r="V84" s="92"/>
      <c r="W84" s="106"/>
      <c r="X84" s="92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/>
      <c r="AJ84"/>
    </row>
    <row r="85" spans="1:24" ht="24">
      <c r="A85" s="168" t="s">
        <v>92</v>
      </c>
      <c r="B85" s="166" t="s">
        <v>91</v>
      </c>
      <c r="C85" s="111" t="s">
        <v>49</v>
      </c>
      <c r="D85" s="22">
        <f>SUM(D87,D89,D91,D93)</f>
        <v>430298936</v>
      </c>
      <c r="E85" s="51">
        <v>0</v>
      </c>
      <c r="F85" s="22">
        <f>SUM(F87,F89,F91,F93)</f>
        <v>430298936</v>
      </c>
      <c r="G85" s="23">
        <v>0</v>
      </c>
      <c r="H85" s="22">
        <f t="shared" si="14"/>
        <v>188414080</v>
      </c>
      <c r="I85" s="21">
        <v>23797058</v>
      </c>
      <c r="J85" s="21">
        <f>SUM(J87,J89,J91,J93)</f>
        <v>23797058</v>
      </c>
      <c r="K85" s="23">
        <v>0</v>
      </c>
      <c r="L85" s="23">
        <v>0</v>
      </c>
      <c r="M85" s="23">
        <v>0</v>
      </c>
      <c r="N85" s="22">
        <f>SUM(N87,N89,N91,N93)</f>
        <v>164617022</v>
      </c>
      <c r="O85" s="22">
        <f t="shared" si="13"/>
        <v>618713016</v>
      </c>
      <c r="P85" s="47"/>
      <c r="Q85" s="22">
        <f>SUM(Q87,Q89,Q91,Q93)</f>
        <v>390425552.78999996</v>
      </c>
      <c r="R85" s="78"/>
      <c r="S85" s="78"/>
      <c r="T85" s="23">
        <v>0</v>
      </c>
      <c r="V85" s="93"/>
      <c r="W85" s="106"/>
      <c r="X85" s="92"/>
    </row>
    <row r="86" spans="1:24" ht="24">
      <c r="A86" s="168"/>
      <c r="B86" s="166"/>
      <c r="C86" s="111" t="s">
        <v>50</v>
      </c>
      <c r="D86" s="22">
        <f>SUM(D88,D90,D92,D94)</f>
        <v>33379546</v>
      </c>
      <c r="E86" s="51">
        <v>0</v>
      </c>
      <c r="F86" s="22">
        <f>SUM(F88,F90,F92,F94)</f>
        <v>33379546</v>
      </c>
      <c r="G86" s="23">
        <v>0</v>
      </c>
      <c r="H86" s="22">
        <f t="shared" si="14"/>
        <v>15365965</v>
      </c>
      <c r="I86" s="21">
        <v>2537500</v>
      </c>
      <c r="J86" s="21">
        <f>SUM(J88,J90,J92,J94)</f>
        <v>2537500</v>
      </c>
      <c r="K86" s="23">
        <v>0</v>
      </c>
      <c r="L86" s="23">
        <v>0</v>
      </c>
      <c r="M86" s="23">
        <v>0</v>
      </c>
      <c r="N86" s="22">
        <f>SUM(N88,N90,N92,N94)</f>
        <v>12828465</v>
      </c>
      <c r="O86" s="22">
        <f t="shared" si="13"/>
        <v>48745511</v>
      </c>
      <c r="P86" s="47"/>
      <c r="Q86" s="22">
        <f>SUM(Q88,Q90,Q92,Q94)</f>
        <v>30549181.95</v>
      </c>
      <c r="R86" s="78"/>
      <c r="S86" s="124"/>
      <c r="T86" s="23">
        <v>0</v>
      </c>
      <c r="V86" s="93"/>
      <c r="W86" s="106"/>
      <c r="X86" s="92"/>
    </row>
    <row r="87" spans="1:23" ht="24">
      <c r="A87" s="168" t="s">
        <v>100</v>
      </c>
      <c r="B87" s="166" t="s">
        <v>91</v>
      </c>
      <c r="C87" s="111" t="s">
        <v>49</v>
      </c>
      <c r="D87" s="22">
        <v>106905649</v>
      </c>
      <c r="E87" s="51">
        <v>0</v>
      </c>
      <c r="F87" s="22">
        <v>106905649</v>
      </c>
      <c r="G87" s="23">
        <v>0</v>
      </c>
      <c r="H87" s="22">
        <f>SUM(N87)</f>
        <v>77977570</v>
      </c>
      <c r="I87" s="21">
        <v>0</v>
      </c>
      <c r="J87" s="23">
        <v>0</v>
      </c>
      <c r="K87" s="23">
        <v>0</v>
      </c>
      <c r="L87" s="23">
        <v>0</v>
      </c>
      <c r="M87" s="23">
        <v>0</v>
      </c>
      <c r="N87" s="22">
        <v>77977570</v>
      </c>
      <c r="O87" s="22">
        <f t="shared" si="13"/>
        <v>184883219</v>
      </c>
      <c r="P87" s="47"/>
      <c r="Q87" s="22">
        <v>100437180</v>
      </c>
      <c r="R87" s="78"/>
      <c r="S87" s="124">
        <v>7</v>
      </c>
      <c r="T87" s="23">
        <v>0</v>
      </c>
      <c r="W87" s="106"/>
    </row>
    <row r="88" spans="1:23" ht="24">
      <c r="A88" s="168"/>
      <c r="B88" s="166"/>
      <c r="C88" s="111" t="s">
        <v>50</v>
      </c>
      <c r="D88" s="22">
        <v>6782823</v>
      </c>
      <c r="E88" s="22">
        <v>0</v>
      </c>
      <c r="F88" s="22">
        <v>6782823</v>
      </c>
      <c r="G88" s="23">
        <v>0</v>
      </c>
      <c r="H88" s="22">
        <f t="shared" si="14"/>
        <v>4949336</v>
      </c>
      <c r="I88" s="21">
        <f aca="true" t="shared" si="15" ref="I88:I100">SUM(J88:M88)</f>
        <v>0</v>
      </c>
      <c r="J88" s="23">
        <v>0</v>
      </c>
      <c r="K88" s="23">
        <v>0</v>
      </c>
      <c r="L88" s="23">
        <v>0</v>
      </c>
      <c r="M88" s="23">
        <v>0</v>
      </c>
      <c r="N88" s="22">
        <v>4949336</v>
      </c>
      <c r="O88" s="22">
        <f t="shared" si="13"/>
        <v>11732159</v>
      </c>
      <c r="P88" s="47"/>
      <c r="Q88" s="22">
        <v>6308025</v>
      </c>
      <c r="R88" s="78"/>
      <c r="S88" s="124">
        <v>7</v>
      </c>
      <c r="T88" s="23">
        <v>0</v>
      </c>
      <c r="V88" s="93"/>
      <c r="W88" s="93"/>
    </row>
    <row r="89" spans="1:23" ht="24">
      <c r="A89" s="168" t="s">
        <v>101</v>
      </c>
      <c r="B89" s="166" t="s">
        <v>91</v>
      </c>
      <c r="C89" s="111" t="s">
        <v>49</v>
      </c>
      <c r="D89" s="22">
        <v>61595616</v>
      </c>
      <c r="E89" s="22">
        <v>0</v>
      </c>
      <c r="F89" s="22">
        <v>61595616</v>
      </c>
      <c r="G89" s="23">
        <v>0</v>
      </c>
      <c r="H89" s="22">
        <f t="shared" si="14"/>
        <v>21641703</v>
      </c>
      <c r="I89" s="21">
        <f t="shared" si="15"/>
        <v>0</v>
      </c>
      <c r="J89" s="23">
        <v>0</v>
      </c>
      <c r="K89" s="23">
        <v>0</v>
      </c>
      <c r="L89" s="23">
        <v>0</v>
      </c>
      <c r="M89" s="23">
        <v>0</v>
      </c>
      <c r="N89" s="22">
        <v>21641703</v>
      </c>
      <c r="O89" s="22">
        <f t="shared" si="13"/>
        <v>83237319</v>
      </c>
      <c r="P89" s="47"/>
      <c r="Q89" s="22">
        <f>(D89-((D89*S89))/100)</f>
        <v>57283922.88</v>
      </c>
      <c r="R89" s="78"/>
      <c r="S89" s="124">
        <v>7</v>
      </c>
      <c r="T89" s="23">
        <v>0</v>
      </c>
      <c r="W89" s="106"/>
    </row>
    <row r="90" spans="1:38" ht="24">
      <c r="A90" s="168"/>
      <c r="B90" s="166"/>
      <c r="C90" s="111" t="s">
        <v>50</v>
      </c>
      <c r="D90" s="22">
        <v>6555102</v>
      </c>
      <c r="E90" s="22">
        <v>0</v>
      </c>
      <c r="F90" s="22">
        <v>6555102</v>
      </c>
      <c r="G90" s="23">
        <v>0</v>
      </c>
      <c r="H90" s="22">
        <f t="shared" si="14"/>
        <v>2343815</v>
      </c>
      <c r="I90" s="21">
        <f t="shared" si="15"/>
        <v>0</v>
      </c>
      <c r="J90" s="23">
        <v>0</v>
      </c>
      <c r="K90" s="23">
        <v>0</v>
      </c>
      <c r="L90" s="23">
        <v>0</v>
      </c>
      <c r="M90" s="23">
        <v>0</v>
      </c>
      <c r="N90" s="22">
        <v>2343815</v>
      </c>
      <c r="O90" s="22">
        <f t="shared" si="13"/>
        <v>8898917</v>
      </c>
      <c r="P90" s="47"/>
      <c r="Q90" s="22">
        <f>(D90-((D90*S89))/100)</f>
        <v>6096244.86</v>
      </c>
      <c r="R90" s="78"/>
      <c r="S90" s="124">
        <v>7</v>
      </c>
      <c r="T90" s="23">
        <v>0</v>
      </c>
      <c r="V90" s="93"/>
      <c r="W90" s="93"/>
      <c r="X90" s="92"/>
      <c r="Y90" s="92"/>
      <c r="AL90" s="105"/>
    </row>
    <row r="91" spans="1:25" ht="24">
      <c r="A91" s="185" t="s">
        <v>102</v>
      </c>
      <c r="B91" s="166" t="s">
        <v>91</v>
      </c>
      <c r="C91" s="111" t="s">
        <v>49</v>
      </c>
      <c r="D91" s="22">
        <v>77742187</v>
      </c>
      <c r="E91" s="22">
        <v>0</v>
      </c>
      <c r="F91" s="22">
        <v>77742187</v>
      </c>
      <c r="G91" s="23">
        <v>0</v>
      </c>
      <c r="H91" s="22">
        <f>I91+N91</f>
        <v>23797058</v>
      </c>
      <c r="I91" s="21">
        <v>23797058</v>
      </c>
      <c r="J91" s="22">
        <v>23797058</v>
      </c>
      <c r="K91" s="23">
        <v>0</v>
      </c>
      <c r="L91" s="23">
        <v>0</v>
      </c>
      <c r="M91" s="23">
        <v>0</v>
      </c>
      <c r="N91" s="22">
        <v>0</v>
      </c>
      <c r="O91" s="22">
        <f t="shared" si="13"/>
        <v>101539245</v>
      </c>
      <c r="P91" s="49">
        <v>0.25</v>
      </c>
      <c r="Q91" s="22">
        <f>(D91-((D91*S91))/100)</f>
        <v>72300233.91</v>
      </c>
      <c r="R91" s="78"/>
      <c r="S91" s="124">
        <v>7</v>
      </c>
      <c r="T91" s="23">
        <v>0</v>
      </c>
      <c r="V91" s="93"/>
      <c r="W91" s="92"/>
      <c r="X91" s="92"/>
      <c r="Y91" s="92"/>
    </row>
    <row r="92" spans="1:25" ht="24">
      <c r="A92" s="186"/>
      <c r="B92" s="166"/>
      <c r="C92" s="111" t="s">
        <v>50</v>
      </c>
      <c r="D92" s="22">
        <v>5182813</v>
      </c>
      <c r="E92" s="22">
        <v>0</v>
      </c>
      <c r="F92" s="22">
        <v>5182813</v>
      </c>
      <c r="G92" s="23">
        <v>0</v>
      </c>
      <c r="H92" s="22">
        <f>I92+N92</f>
        <v>2537500</v>
      </c>
      <c r="I92" s="21">
        <v>2537500</v>
      </c>
      <c r="J92" s="22">
        <v>2537500</v>
      </c>
      <c r="K92" s="23">
        <v>0</v>
      </c>
      <c r="L92" s="23">
        <v>0</v>
      </c>
      <c r="M92" s="23">
        <v>0</v>
      </c>
      <c r="N92" s="22">
        <v>0</v>
      </c>
      <c r="O92" s="22">
        <f t="shared" si="13"/>
        <v>7720313</v>
      </c>
      <c r="P92" s="49">
        <v>0.25</v>
      </c>
      <c r="Q92" s="22">
        <f>(D92-((D92*S91))/100)</f>
        <v>4820016.09</v>
      </c>
      <c r="R92" s="78"/>
      <c r="S92" s="124">
        <v>7</v>
      </c>
      <c r="T92" s="23">
        <v>0</v>
      </c>
      <c r="V92" s="109"/>
      <c r="W92" s="92"/>
      <c r="X92" s="92"/>
      <c r="Y92" s="92"/>
    </row>
    <row r="93" spans="1:25" ht="24">
      <c r="A93" s="168" t="s">
        <v>103</v>
      </c>
      <c r="B93" s="166" t="s">
        <v>91</v>
      </c>
      <c r="C93" s="111" t="s">
        <v>49</v>
      </c>
      <c r="D93" s="22">
        <v>184055484</v>
      </c>
      <c r="E93" s="22">
        <v>0</v>
      </c>
      <c r="F93" s="22">
        <v>184055484</v>
      </c>
      <c r="G93" s="23">
        <v>0</v>
      </c>
      <c r="H93" s="22">
        <f>SUM(N93)</f>
        <v>64997749</v>
      </c>
      <c r="I93" s="48">
        <v>0</v>
      </c>
      <c r="J93" s="23">
        <v>0</v>
      </c>
      <c r="K93" s="23">
        <v>0</v>
      </c>
      <c r="L93" s="23">
        <v>0</v>
      </c>
      <c r="M93" s="23">
        <v>0</v>
      </c>
      <c r="N93" s="22">
        <v>64997749</v>
      </c>
      <c r="O93" s="22">
        <f t="shared" si="13"/>
        <v>249053233</v>
      </c>
      <c r="P93" s="49"/>
      <c r="Q93" s="22">
        <v>160404216</v>
      </c>
      <c r="R93" s="78"/>
      <c r="S93" s="124">
        <v>7</v>
      </c>
      <c r="T93" s="23">
        <v>0</v>
      </c>
      <c r="V93" s="92"/>
      <c r="W93" s="92"/>
      <c r="X93" s="92"/>
      <c r="Y93" s="92"/>
    </row>
    <row r="94" spans="1:25" ht="24">
      <c r="A94" s="168"/>
      <c r="B94" s="166"/>
      <c r="C94" s="111" t="s">
        <v>50</v>
      </c>
      <c r="D94" s="22">
        <v>14858808</v>
      </c>
      <c r="E94" s="22">
        <v>0</v>
      </c>
      <c r="F94" s="22">
        <v>14858808</v>
      </c>
      <c r="G94" s="23">
        <v>0</v>
      </c>
      <c r="H94" s="22">
        <f t="shared" si="14"/>
        <v>5535314</v>
      </c>
      <c r="I94" s="48">
        <v>0</v>
      </c>
      <c r="J94" s="23">
        <v>0</v>
      </c>
      <c r="K94" s="23">
        <v>0</v>
      </c>
      <c r="L94" s="23">
        <v>0</v>
      </c>
      <c r="M94" s="23">
        <v>0</v>
      </c>
      <c r="N94" s="22">
        <v>5535314</v>
      </c>
      <c r="O94" s="22">
        <f t="shared" si="13"/>
        <v>20394122</v>
      </c>
      <c r="P94" s="49"/>
      <c r="Q94" s="22">
        <v>13324896</v>
      </c>
      <c r="R94" s="78"/>
      <c r="S94" s="124">
        <v>7</v>
      </c>
      <c r="T94" s="23">
        <v>0</v>
      </c>
      <c r="V94" s="92"/>
      <c r="W94" s="93"/>
      <c r="X94" s="109"/>
      <c r="Y94" s="92"/>
    </row>
    <row r="95" spans="1:35" ht="24">
      <c r="A95" s="168" t="s">
        <v>93</v>
      </c>
      <c r="B95" s="166" t="s">
        <v>91</v>
      </c>
      <c r="C95" s="111" t="s">
        <v>49</v>
      </c>
      <c r="D95" s="22">
        <v>419474928</v>
      </c>
      <c r="E95" s="22">
        <v>0</v>
      </c>
      <c r="F95" s="22">
        <v>419474928</v>
      </c>
      <c r="G95" s="23">
        <v>0</v>
      </c>
      <c r="H95" s="22">
        <f t="shared" si="14"/>
        <v>105763709</v>
      </c>
      <c r="I95" s="21">
        <f t="shared" si="15"/>
        <v>0</v>
      </c>
      <c r="J95" s="23">
        <v>0</v>
      </c>
      <c r="K95" s="23">
        <v>0</v>
      </c>
      <c r="L95" s="23">
        <v>0</v>
      </c>
      <c r="M95" s="23">
        <v>0</v>
      </c>
      <c r="N95" s="22">
        <v>105763709</v>
      </c>
      <c r="O95" s="22">
        <f t="shared" si="13"/>
        <v>525238637</v>
      </c>
      <c r="P95" s="23"/>
      <c r="Q95" s="22">
        <v>379361316</v>
      </c>
      <c r="R95" s="78"/>
      <c r="S95" s="124">
        <v>7</v>
      </c>
      <c r="T95" s="23">
        <v>0</v>
      </c>
      <c r="V95" s="92"/>
      <c r="W95" s="92"/>
      <c r="X95" s="92"/>
      <c r="Y95" s="92"/>
      <c r="AI95" s="105"/>
    </row>
    <row r="96" spans="1:35" ht="24">
      <c r="A96" s="168"/>
      <c r="B96" s="166"/>
      <c r="C96" s="111" t="s">
        <v>50</v>
      </c>
      <c r="D96" s="22">
        <v>27396205</v>
      </c>
      <c r="E96" s="22">
        <v>0</v>
      </c>
      <c r="F96" s="22">
        <v>27396205</v>
      </c>
      <c r="G96" s="23">
        <v>0</v>
      </c>
      <c r="H96" s="22">
        <f t="shared" si="14"/>
        <v>6241309</v>
      </c>
      <c r="I96" s="21">
        <f t="shared" si="15"/>
        <v>0</v>
      </c>
      <c r="J96" s="23">
        <v>0</v>
      </c>
      <c r="K96" s="23">
        <v>0</v>
      </c>
      <c r="L96" s="23">
        <v>0</v>
      </c>
      <c r="M96" s="23">
        <v>0</v>
      </c>
      <c r="N96" s="22">
        <v>6241309</v>
      </c>
      <c r="O96" s="22">
        <f t="shared" si="13"/>
        <v>33637514</v>
      </c>
      <c r="P96" s="23"/>
      <c r="Q96" s="22">
        <v>24605412</v>
      </c>
      <c r="R96" s="78"/>
      <c r="S96" s="124">
        <v>7</v>
      </c>
      <c r="T96" s="23">
        <v>0</v>
      </c>
      <c r="V96" s="92"/>
      <c r="W96" s="92"/>
      <c r="X96" s="92"/>
      <c r="Y96" s="92"/>
      <c r="AI96" s="105"/>
    </row>
    <row r="97" spans="1:35" ht="24">
      <c r="A97" s="168" t="s">
        <v>94</v>
      </c>
      <c r="B97" s="166" t="s">
        <v>91</v>
      </c>
      <c r="C97" s="111" t="s">
        <v>49</v>
      </c>
      <c r="D97" s="22">
        <v>117281250</v>
      </c>
      <c r="E97" s="22">
        <v>0</v>
      </c>
      <c r="F97" s="22">
        <v>117281250</v>
      </c>
      <c r="G97" s="23">
        <v>0</v>
      </c>
      <c r="H97" s="22">
        <f t="shared" si="14"/>
        <v>0</v>
      </c>
      <c r="I97" s="21">
        <f t="shared" si="15"/>
        <v>0</v>
      </c>
      <c r="J97" s="23">
        <v>0</v>
      </c>
      <c r="K97" s="23">
        <v>0</v>
      </c>
      <c r="L97" s="23">
        <v>0</v>
      </c>
      <c r="M97" s="23">
        <v>0</v>
      </c>
      <c r="N97" s="22">
        <v>0</v>
      </c>
      <c r="O97" s="22">
        <f t="shared" si="13"/>
        <v>117281250</v>
      </c>
      <c r="P97" s="49">
        <v>0.3</v>
      </c>
      <c r="Q97" s="22">
        <f>(D97-((D97*S98))/100)</f>
        <v>117281250</v>
      </c>
      <c r="R97" s="78"/>
      <c r="S97" s="124"/>
      <c r="T97" s="23">
        <v>0</v>
      </c>
      <c r="V97" s="91"/>
      <c r="W97" s="92"/>
      <c r="X97" s="92"/>
      <c r="Y97" s="92"/>
      <c r="AI97" s="105"/>
    </row>
    <row r="98" spans="1:35" ht="24">
      <c r="A98" s="168"/>
      <c r="B98" s="166"/>
      <c r="C98" s="111" t="s">
        <v>50</v>
      </c>
      <c r="D98" s="22">
        <v>7818750</v>
      </c>
      <c r="E98" s="22">
        <v>0</v>
      </c>
      <c r="F98" s="22">
        <v>7818750</v>
      </c>
      <c r="G98" s="23">
        <v>0</v>
      </c>
      <c r="H98" s="22">
        <f t="shared" si="14"/>
        <v>0</v>
      </c>
      <c r="I98" s="21">
        <f t="shared" si="15"/>
        <v>0</v>
      </c>
      <c r="J98" s="23">
        <v>0</v>
      </c>
      <c r="K98" s="23">
        <v>0</v>
      </c>
      <c r="L98" s="23">
        <v>0</v>
      </c>
      <c r="M98" s="23">
        <v>0</v>
      </c>
      <c r="N98" s="22">
        <v>0</v>
      </c>
      <c r="O98" s="22">
        <f t="shared" si="13"/>
        <v>7818750</v>
      </c>
      <c r="P98" s="49">
        <v>0.3</v>
      </c>
      <c r="Q98" s="22">
        <f>(D98-((D98*S98))/100)</f>
        <v>7818750</v>
      </c>
      <c r="R98" s="78"/>
      <c r="S98" s="124"/>
      <c r="T98" s="23">
        <v>0</v>
      </c>
      <c r="V98" s="110"/>
      <c r="W98" s="93"/>
      <c r="X98" s="92"/>
      <c r="Y98" s="92"/>
      <c r="AI98" s="105"/>
    </row>
    <row r="99" spans="1:35" ht="24">
      <c r="A99" s="168" t="s">
        <v>95</v>
      </c>
      <c r="B99" s="166" t="s">
        <v>91</v>
      </c>
      <c r="C99" s="111" t="s">
        <v>49</v>
      </c>
      <c r="D99" s="22">
        <v>175616250</v>
      </c>
      <c r="E99" s="22">
        <v>0</v>
      </c>
      <c r="F99" s="22">
        <v>175616250</v>
      </c>
      <c r="G99" s="23">
        <v>0</v>
      </c>
      <c r="H99" s="22">
        <f t="shared" si="14"/>
        <v>0</v>
      </c>
      <c r="I99" s="21">
        <f t="shared" si="15"/>
        <v>0</v>
      </c>
      <c r="J99" s="23">
        <v>0</v>
      </c>
      <c r="K99" s="23">
        <v>0</v>
      </c>
      <c r="L99" s="23">
        <v>0</v>
      </c>
      <c r="M99" s="23">
        <v>0</v>
      </c>
      <c r="N99" s="22">
        <v>0</v>
      </c>
      <c r="O99" s="22">
        <f t="shared" si="13"/>
        <v>175616250</v>
      </c>
      <c r="P99" s="49">
        <v>0.3</v>
      </c>
      <c r="Q99" s="22">
        <f>(D99-((D99*S98))/100)</f>
        <v>175616250</v>
      </c>
      <c r="R99" s="78"/>
      <c r="S99" s="124"/>
      <c r="T99" s="23">
        <v>0</v>
      </c>
      <c r="V99" s="90"/>
      <c r="W99" s="92"/>
      <c r="X99" s="92"/>
      <c r="Y99" s="92"/>
      <c r="AI99" s="105"/>
    </row>
    <row r="100" spans="1:35" ht="24">
      <c r="A100" s="168"/>
      <c r="B100" s="166"/>
      <c r="C100" s="111" t="s">
        <v>50</v>
      </c>
      <c r="D100" s="22">
        <v>11707750</v>
      </c>
      <c r="E100" s="22">
        <v>0</v>
      </c>
      <c r="F100" s="22">
        <v>11707750</v>
      </c>
      <c r="G100" s="23">
        <v>0</v>
      </c>
      <c r="H100" s="22">
        <f t="shared" si="14"/>
        <v>0</v>
      </c>
      <c r="I100" s="21">
        <f t="shared" si="15"/>
        <v>0</v>
      </c>
      <c r="J100" s="23">
        <v>0</v>
      </c>
      <c r="K100" s="23">
        <v>0</v>
      </c>
      <c r="L100" s="23">
        <v>0</v>
      </c>
      <c r="M100" s="23">
        <v>0</v>
      </c>
      <c r="N100" s="22">
        <v>0</v>
      </c>
      <c r="O100" s="22">
        <f t="shared" si="13"/>
        <v>11707750</v>
      </c>
      <c r="P100" s="49">
        <v>0.3</v>
      </c>
      <c r="Q100" s="22">
        <f>(D100-((D100*S99))/100)</f>
        <v>11707750</v>
      </c>
      <c r="R100" s="78"/>
      <c r="S100" s="78"/>
      <c r="T100" s="23">
        <v>0</v>
      </c>
      <c r="V100" s="91"/>
      <c r="W100" s="92"/>
      <c r="X100" s="92"/>
      <c r="Y100" s="92"/>
      <c r="AI100" s="105"/>
    </row>
    <row r="101" spans="1:35" ht="24">
      <c r="A101" s="161" t="s">
        <v>96</v>
      </c>
      <c r="B101" s="184" t="s">
        <v>97</v>
      </c>
      <c r="C101" s="152" t="s">
        <v>49</v>
      </c>
      <c r="D101" s="131">
        <v>141354661</v>
      </c>
      <c r="E101" s="131">
        <v>0</v>
      </c>
      <c r="F101" s="131">
        <v>141354661</v>
      </c>
      <c r="G101" s="132">
        <v>0</v>
      </c>
      <c r="H101" s="131">
        <f t="shared" si="14"/>
        <v>24944941</v>
      </c>
      <c r="I101" s="142">
        <v>24944941</v>
      </c>
      <c r="J101" s="131">
        <v>24944941</v>
      </c>
      <c r="K101" s="132">
        <v>0</v>
      </c>
      <c r="L101" s="132">
        <v>0</v>
      </c>
      <c r="M101" s="132">
        <v>0</v>
      </c>
      <c r="N101" s="131">
        <v>0</v>
      </c>
      <c r="O101" s="131">
        <v>166299602</v>
      </c>
      <c r="P101" s="132"/>
      <c r="Q101" s="131">
        <v>141354661</v>
      </c>
      <c r="R101" s="131">
        <v>0</v>
      </c>
      <c r="S101" s="132"/>
      <c r="T101" s="132">
        <v>0</v>
      </c>
      <c r="V101" s="110"/>
      <c r="W101" s="92"/>
      <c r="X101" s="92"/>
      <c r="Y101" s="92"/>
      <c r="AI101" s="105"/>
    </row>
    <row r="102" spans="1:35" ht="24">
      <c r="A102" s="161"/>
      <c r="B102" s="184"/>
      <c r="C102" s="153" t="s">
        <v>50</v>
      </c>
      <c r="D102" s="131">
        <v>10639597.999999998</v>
      </c>
      <c r="E102" s="131">
        <v>0</v>
      </c>
      <c r="F102" s="131">
        <v>10639597.999999998</v>
      </c>
      <c r="G102" s="132">
        <v>0</v>
      </c>
      <c r="H102" s="131">
        <f t="shared" si="14"/>
        <v>2659900</v>
      </c>
      <c r="I102" s="142">
        <v>2659900</v>
      </c>
      <c r="J102" s="131">
        <v>2659900</v>
      </c>
      <c r="K102" s="132">
        <v>0</v>
      </c>
      <c r="L102" s="132">
        <v>0</v>
      </c>
      <c r="M102" s="132">
        <v>0</v>
      </c>
      <c r="N102" s="131">
        <v>0</v>
      </c>
      <c r="O102" s="131">
        <v>13299497.999999998</v>
      </c>
      <c r="P102" s="132"/>
      <c r="Q102" s="131">
        <v>10639597.999999998</v>
      </c>
      <c r="R102" s="131">
        <v>0</v>
      </c>
      <c r="S102" s="132"/>
      <c r="T102" s="132">
        <v>0</v>
      </c>
      <c r="AI102" s="105"/>
    </row>
    <row r="103" spans="1:35" ht="24">
      <c r="A103" s="173" t="s">
        <v>98</v>
      </c>
      <c r="B103" s="173" t="s">
        <v>97</v>
      </c>
      <c r="C103" s="57" t="s">
        <v>49</v>
      </c>
      <c r="D103" s="22">
        <v>141354661</v>
      </c>
      <c r="E103" s="22">
        <v>0</v>
      </c>
      <c r="F103" s="22">
        <v>141354661</v>
      </c>
      <c r="G103" s="23">
        <v>0</v>
      </c>
      <c r="H103" s="22">
        <f t="shared" si="14"/>
        <v>24944941</v>
      </c>
      <c r="I103" s="21">
        <v>24944941</v>
      </c>
      <c r="J103" s="22">
        <v>24944941</v>
      </c>
      <c r="K103" s="23"/>
      <c r="L103" s="23">
        <v>0</v>
      </c>
      <c r="M103" s="23">
        <v>0</v>
      </c>
      <c r="N103" s="22">
        <v>0</v>
      </c>
      <c r="O103" s="22">
        <f>D103+H103</f>
        <v>166299602</v>
      </c>
      <c r="P103" s="23"/>
      <c r="Q103" s="22">
        <v>141354661</v>
      </c>
      <c r="R103" s="72"/>
      <c r="S103" s="72"/>
      <c r="T103" s="23">
        <v>0</v>
      </c>
      <c r="AI103" s="105"/>
    </row>
    <row r="104" spans="1:35" ht="24">
      <c r="A104" s="173"/>
      <c r="B104" s="173"/>
      <c r="C104" s="57" t="s">
        <v>50</v>
      </c>
      <c r="D104" s="22">
        <v>10639597.999999998</v>
      </c>
      <c r="E104" s="22">
        <v>0</v>
      </c>
      <c r="F104" s="22">
        <v>10639597.999999998</v>
      </c>
      <c r="G104" s="23">
        <v>0</v>
      </c>
      <c r="H104" s="22">
        <f t="shared" si="14"/>
        <v>2659900</v>
      </c>
      <c r="I104" s="21">
        <v>2659900</v>
      </c>
      <c r="J104" s="22">
        <v>2659900</v>
      </c>
      <c r="K104" s="23"/>
      <c r="L104" s="23">
        <v>0</v>
      </c>
      <c r="M104" s="23">
        <v>0</v>
      </c>
      <c r="N104" s="22">
        <v>0</v>
      </c>
      <c r="O104" s="22">
        <f>D104+H104</f>
        <v>13299497.999999998</v>
      </c>
      <c r="P104" s="23"/>
      <c r="Q104" s="22">
        <v>10639597.999999998</v>
      </c>
      <c r="R104" s="72"/>
      <c r="S104" s="72"/>
      <c r="T104" s="23">
        <v>0</v>
      </c>
      <c r="W104" s="106"/>
      <c r="AI104" s="105"/>
    </row>
    <row r="105" spans="1:35" ht="24">
      <c r="A105" s="181" t="s">
        <v>99</v>
      </c>
      <c r="B105" s="181" t="s">
        <v>97</v>
      </c>
      <c r="C105" s="154" t="s">
        <v>49</v>
      </c>
      <c r="D105" s="125">
        <f>SUM(D7,D23,D51,D53,D83,D101)</f>
        <v>7854565382</v>
      </c>
      <c r="E105" s="125">
        <v>0</v>
      </c>
      <c r="F105" s="125">
        <f>SUM(F7,F23,F51,F53,F83,F101)</f>
        <v>7854565382</v>
      </c>
      <c r="G105" s="126">
        <v>0</v>
      </c>
      <c r="H105" s="125">
        <f>I105+N105</f>
        <v>3528889364.0785713</v>
      </c>
      <c r="I105" s="125">
        <f aca="true" t="shared" si="16" ref="I105:O106">SUM(I7,I23,I51,I53,I83,I101)</f>
        <v>59733302</v>
      </c>
      <c r="J105" s="125">
        <f t="shared" si="16"/>
        <v>59733302.5882353</v>
      </c>
      <c r="K105" s="125">
        <f t="shared" si="16"/>
        <v>0</v>
      </c>
      <c r="L105" s="125">
        <f t="shared" si="16"/>
        <v>0</v>
      </c>
      <c r="M105" s="125">
        <f t="shared" si="16"/>
        <v>0</v>
      </c>
      <c r="N105" s="125">
        <f t="shared" si="16"/>
        <v>3469156062.0785713</v>
      </c>
      <c r="O105" s="125">
        <f t="shared" si="16"/>
        <v>11383454746</v>
      </c>
      <c r="P105" s="126"/>
      <c r="Q105" s="125">
        <f>SUM(Q7,Q23,Q51,Q53,Q83,Q101)</f>
        <v>7383291459.999998</v>
      </c>
      <c r="R105" s="155">
        <f>SUM(R7,R23,R51,R53,R83,R101)</f>
        <v>471273922.00000197</v>
      </c>
      <c r="S105" s="156">
        <f>(R105/D105)*100</f>
        <v>5.999999988287092</v>
      </c>
      <c r="T105" s="126">
        <v>0</v>
      </c>
      <c r="V105" s="114"/>
      <c r="W105" s="106"/>
      <c r="AI105" s="105"/>
    </row>
    <row r="106" spans="1:35" ht="24">
      <c r="A106" s="181"/>
      <c r="B106" s="181"/>
      <c r="C106" s="154" t="s">
        <v>50</v>
      </c>
      <c r="D106" s="125">
        <f>SUM(D8,D24,D52,D54,D84,D102)</f>
        <v>759363632</v>
      </c>
      <c r="E106" s="125">
        <v>0</v>
      </c>
      <c r="F106" s="125">
        <f>SUM(F8,F24,F52,F54,F84,F102)</f>
        <v>759363632</v>
      </c>
      <c r="G106" s="126">
        <v>0</v>
      </c>
      <c r="H106" s="125">
        <f>I106+N106</f>
        <v>351172141.25238097</v>
      </c>
      <c r="I106" s="125">
        <f t="shared" si="16"/>
        <v>6363901</v>
      </c>
      <c r="J106" s="125">
        <f t="shared" si="16"/>
        <v>6363901</v>
      </c>
      <c r="K106" s="125">
        <f t="shared" si="16"/>
        <v>0</v>
      </c>
      <c r="L106" s="125">
        <f t="shared" si="16"/>
        <v>0</v>
      </c>
      <c r="M106" s="125">
        <f t="shared" si="16"/>
        <v>0</v>
      </c>
      <c r="N106" s="125">
        <f t="shared" si="16"/>
        <v>344808240.25238097</v>
      </c>
      <c r="O106" s="125">
        <f t="shared" si="16"/>
        <v>1110535773</v>
      </c>
      <c r="P106" s="126"/>
      <c r="Q106" s="125">
        <f>SUM(Q8,Q24,Q52,Q54,Q102,Q84)</f>
        <v>713801814.3685431</v>
      </c>
      <c r="R106" s="155">
        <f>SUM(R8,R24,R52,R54,R84,R102)</f>
        <v>45561817.6314569</v>
      </c>
      <c r="S106" s="156">
        <f>(R106/D106)*100</f>
        <v>5.9999999620019855</v>
      </c>
      <c r="T106" s="126">
        <v>0</v>
      </c>
      <c r="V106" s="115"/>
      <c r="W106" s="116"/>
      <c r="AI106" s="105"/>
    </row>
    <row r="107" spans="1:35" ht="15">
      <c r="A107" s="96"/>
      <c r="B107" s="96"/>
      <c r="C107" s="97"/>
      <c r="D107" s="89"/>
      <c r="E107" s="89"/>
      <c r="F107" s="89"/>
      <c r="G107" s="98"/>
      <c r="H107" s="89"/>
      <c r="I107" s="89"/>
      <c r="J107" s="89"/>
      <c r="K107" s="89"/>
      <c r="L107" s="89"/>
      <c r="M107" s="89"/>
      <c r="N107" s="89"/>
      <c r="O107" s="89"/>
      <c r="P107" s="98"/>
      <c r="Q107" s="89"/>
      <c r="R107" s="99"/>
      <c r="S107" s="100"/>
      <c r="T107" s="98"/>
      <c r="V107" s="117"/>
      <c r="W107" s="118"/>
      <c r="AI107" s="105"/>
    </row>
    <row r="108" spans="4:35" ht="15"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AI108" s="105"/>
    </row>
    <row r="109" spans="4:35" ht="15">
      <c r="D109" s="91"/>
      <c r="E109" s="90"/>
      <c r="F109" s="90"/>
      <c r="G109" s="90"/>
      <c r="H109" s="91"/>
      <c r="I109" s="90"/>
      <c r="J109" s="90"/>
      <c r="K109" s="90"/>
      <c r="L109" s="90"/>
      <c r="M109" s="90"/>
      <c r="N109" s="90"/>
      <c r="O109" s="91"/>
      <c r="P109" s="90"/>
      <c r="Q109" s="91"/>
      <c r="V109"/>
      <c r="AI109" s="105"/>
    </row>
    <row r="110" spans="4:35" ht="15">
      <c r="D110" s="91"/>
      <c r="E110" s="90"/>
      <c r="F110" s="90"/>
      <c r="G110" s="90"/>
      <c r="H110" s="91"/>
      <c r="I110" s="90"/>
      <c r="J110" s="90"/>
      <c r="K110" s="90"/>
      <c r="L110" s="90"/>
      <c r="M110" s="90"/>
      <c r="N110" s="90"/>
      <c r="O110" s="93"/>
      <c r="P110" s="92"/>
      <c r="Q110" s="101"/>
      <c r="R110" s="95"/>
      <c r="V110"/>
      <c r="AI110" s="105"/>
    </row>
    <row r="111" spans="4:35" ht="15">
      <c r="D111" s="91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89"/>
      <c r="P111" s="92"/>
      <c r="Q111" s="101"/>
      <c r="R111" s="95"/>
      <c r="V111"/>
      <c r="AI111" s="105"/>
    </row>
    <row r="112" spans="4:35" ht="15"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89"/>
      <c r="P112" s="92"/>
      <c r="Q112" s="101"/>
      <c r="R112" s="95"/>
      <c r="V112"/>
      <c r="AI112" s="105"/>
    </row>
    <row r="113" spans="4:35" ht="15"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3"/>
      <c r="P113" s="92"/>
      <c r="Q113" s="92"/>
      <c r="V113"/>
      <c r="AI113" s="105"/>
    </row>
    <row r="114" spans="4:35" ht="15"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3"/>
      <c r="P114" s="92"/>
      <c r="Q114" s="93"/>
      <c r="R114" s="88"/>
      <c r="V114"/>
      <c r="AI114" s="105"/>
    </row>
    <row r="115" spans="15:35" ht="15">
      <c r="O115" s="88"/>
      <c r="Q115" s="88"/>
      <c r="S115" s="88"/>
      <c r="V115"/>
      <c r="AI115" s="105"/>
    </row>
    <row r="116" spans="15:35" ht="15">
      <c r="O116" s="88"/>
      <c r="Q116" s="88"/>
      <c r="S116" s="88"/>
      <c r="V116"/>
      <c r="AI116" s="105"/>
    </row>
    <row r="117" spans="22:35" ht="15">
      <c r="V117"/>
      <c r="AI117" s="105"/>
    </row>
    <row r="118" spans="17:35" ht="15">
      <c r="Q118" s="88"/>
      <c r="V118"/>
      <c r="AI118" s="105"/>
    </row>
    <row r="119" spans="22:35" ht="15">
      <c r="V119"/>
      <c r="AI119" s="105"/>
    </row>
    <row r="120" spans="22:35" ht="15">
      <c r="V120"/>
      <c r="AI120" s="105"/>
    </row>
    <row r="121" spans="22:35" ht="15">
      <c r="V121"/>
      <c r="AI121" s="105"/>
    </row>
    <row r="122" spans="22:35" ht="15">
      <c r="V122"/>
      <c r="AI122" s="105"/>
    </row>
    <row r="123" spans="22:35" ht="15">
      <c r="V123"/>
      <c r="AI123" s="105"/>
    </row>
    <row r="124" spans="22:35" ht="15">
      <c r="V124"/>
      <c r="AI124" s="105"/>
    </row>
    <row r="125" spans="22:35" ht="15">
      <c r="V125"/>
      <c r="AI125" s="105"/>
    </row>
    <row r="126" spans="22:35" ht="15">
      <c r="V126"/>
      <c r="AI126" s="105"/>
    </row>
    <row r="127" spans="22:35" ht="15">
      <c r="V127"/>
      <c r="AI127" s="105"/>
    </row>
    <row r="128" spans="22:35" ht="15">
      <c r="V128"/>
      <c r="AI128" s="105"/>
    </row>
    <row r="129" spans="22:35" ht="15">
      <c r="V129"/>
      <c r="AI129" s="105"/>
    </row>
    <row r="130" spans="22:35" ht="15">
      <c r="V130"/>
      <c r="AI130" s="105"/>
    </row>
    <row r="131" spans="22:35" ht="15">
      <c r="V131"/>
      <c r="AI131" s="105"/>
    </row>
    <row r="132" spans="22:35" ht="15">
      <c r="V132"/>
      <c r="AI132" s="105"/>
    </row>
    <row r="133" spans="22:35" ht="15">
      <c r="V133"/>
      <c r="AI133" s="105"/>
    </row>
    <row r="134" spans="22:35" ht="15">
      <c r="V134"/>
      <c r="AI134" s="105"/>
    </row>
    <row r="135" spans="22:35" ht="15">
      <c r="V135"/>
      <c r="AI135" s="105"/>
    </row>
    <row r="136" spans="22:35" ht="15">
      <c r="V136"/>
      <c r="AI136" s="105"/>
    </row>
    <row r="137" spans="22:35" ht="15">
      <c r="V137"/>
      <c r="AI137" s="105"/>
    </row>
    <row r="138" spans="22:35" ht="15">
      <c r="V138"/>
      <c r="AI138" s="105"/>
    </row>
    <row r="139" spans="22:35" ht="15">
      <c r="V139"/>
      <c r="AI139" s="105"/>
    </row>
  </sheetData>
  <sheetProtection/>
  <mergeCells count="105">
    <mergeCell ref="A49:A50"/>
    <mergeCell ref="B49:B50"/>
    <mergeCell ref="A101:A102"/>
    <mergeCell ref="B101:B102"/>
    <mergeCell ref="A103:A104"/>
    <mergeCell ref="B103:B104"/>
    <mergeCell ref="A89:A90"/>
    <mergeCell ref="B89:B90"/>
    <mergeCell ref="A91:A92"/>
    <mergeCell ref="B91:B92"/>
    <mergeCell ref="A105:A106"/>
    <mergeCell ref="B105:B106"/>
    <mergeCell ref="A95:A96"/>
    <mergeCell ref="B95:B96"/>
    <mergeCell ref="A97:A98"/>
    <mergeCell ref="B97:B98"/>
    <mergeCell ref="A99:A100"/>
    <mergeCell ref="B99:B100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1:A54"/>
    <mergeCell ref="B51:B52"/>
    <mergeCell ref="B53:B54"/>
    <mergeCell ref="A55:A56"/>
    <mergeCell ref="B55:B56"/>
    <mergeCell ref="A57:A58"/>
    <mergeCell ref="B57:B58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5:A16"/>
    <mergeCell ref="B15:B16"/>
    <mergeCell ref="A17:A18"/>
    <mergeCell ref="B17:B18"/>
    <mergeCell ref="A23:A24"/>
    <mergeCell ref="B23:B24"/>
    <mergeCell ref="A9:A10"/>
    <mergeCell ref="B9:B10"/>
    <mergeCell ref="A11:A12"/>
    <mergeCell ref="B11:B12"/>
    <mergeCell ref="A13:A14"/>
    <mergeCell ref="B13:B14"/>
    <mergeCell ref="A7:A8"/>
    <mergeCell ref="B7:B8"/>
    <mergeCell ref="A3:A4"/>
    <mergeCell ref="B3:B6"/>
    <mergeCell ref="C3:C6"/>
    <mergeCell ref="D3:G3"/>
    <mergeCell ref="I3:M3"/>
    <mergeCell ref="N3:N4"/>
    <mergeCell ref="O3:O4"/>
    <mergeCell ref="P3:P4"/>
    <mergeCell ref="S3:S4"/>
    <mergeCell ref="T3:T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Kacperski</dc:creator>
  <cp:keywords/>
  <dc:description/>
  <cp:lastModifiedBy>Lukasz Małecki</cp:lastModifiedBy>
  <cp:lastPrinted>2018-06-25T12:35:47Z</cp:lastPrinted>
  <dcterms:created xsi:type="dcterms:W3CDTF">2018-02-07T10:35:24Z</dcterms:created>
  <dcterms:modified xsi:type="dcterms:W3CDTF">2019-04-02T13:17:45Z</dcterms:modified>
  <cp:category/>
  <cp:version/>
  <cp:contentType/>
  <cp:contentStatus/>
</cp:coreProperties>
</file>